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S:\EXCEL FORMS\"/>
    </mc:Choice>
  </mc:AlternateContent>
  <xr:revisionPtr revIDLastSave="0" documentId="13_ncr:1_{49689105-327D-4586-94A7-0BFC9242A66A}" xr6:coauthVersionLast="47" xr6:coauthVersionMax="47" xr10:uidLastSave="{00000000-0000-0000-0000-000000000000}"/>
  <bookViews>
    <workbookView showSheetTabs="0" xWindow="-110" yWindow="-110" windowWidth="19420" windowHeight="10300" xr2:uid="{00000000-000D-0000-FFFF-FFFF00000000}"/>
  </bookViews>
  <sheets>
    <sheet name="DBP" sheetId="1" r:id="rId1"/>
  </sheets>
  <definedNames>
    <definedName name="ABPEnd1">DBP!$O$124</definedName>
    <definedName name="ABPEnd2">DBP!$P$124</definedName>
    <definedName name="ABPEnd3">DBP!$Q$124</definedName>
    <definedName name="ABPEnd4">DBP!$R$124</definedName>
    <definedName name="ABPSt1">DBP!$O$123</definedName>
    <definedName name="ABPSt2">DBP!$P$123</definedName>
    <definedName name="ABPSt3">DBP!$Q$123</definedName>
    <definedName name="ABPSt4">DBP!$R$123</definedName>
    <definedName name="DBMems">DBP!$L$68:$L$71</definedName>
    <definedName name="DBPEnd1">DBP!$O$129</definedName>
    <definedName name="DBPEnd2">DBP!$P$129</definedName>
    <definedName name="DBPEnd3">DBP!$Q$129</definedName>
    <definedName name="DBPEnd4">DBP!$R$129</definedName>
    <definedName name="estdate">DBP!$F$45</definedName>
    <definedName name="finyear">DBP!$F$44</definedName>
    <definedName name="FYears">DBP!$O$46:$O$54</definedName>
    <definedName name="m1accum">DBP!$D$87</definedName>
    <definedName name="m1dpens">DBP!$D$91</definedName>
    <definedName name="m1pens">DBP!$D$95</definedName>
    <definedName name="m2accum">DBP!$E$87</definedName>
    <definedName name="m2dpens">DBP!$E$91</definedName>
    <definedName name="m2pens">DBP!$E$95</definedName>
    <definedName name="m3accum">DBP!$F$87</definedName>
    <definedName name="m3dpens">DBP!$F$91</definedName>
    <definedName name="m3pens">DBP!$F$95</definedName>
    <definedName name="m4accum">DBP!$G$87</definedName>
    <definedName name="m4dpens">DBP!$G$91</definedName>
    <definedName name="m4pens">DBP!$G$95</definedName>
    <definedName name="mdob1">DBP!$D$37</definedName>
    <definedName name="mdob2">DBP!$E$37</definedName>
    <definedName name="mdob3">DBP!$F$37</definedName>
    <definedName name="mdob4">DBP!$G$37</definedName>
    <definedName name="mname1">DBP!$D$35</definedName>
    <definedName name="mname2">DBP!$E$35</definedName>
    <definedName name="mname3">DBP!$F$35</definedName>
    <definedName name="mname4">DBP!$G$35</definedName>
    <definedName name="_xlnm.Print_Area" localSheetId="0">DBP!$B$1:$J$350</definedName>
    <definedName name="res">DBP!$H$87</definedName>
    <definedName name="start_year">DBP!$I$45</definedName>
    <definedName name="transtypes">DBP!$B$162:$B$166</definedName>
    <definedName name="txtenddate">DBP!$G$46</definedName>
    <definedName name="txtstdate">DBP!$G$45</definedName>
    <definedName name="yrend">DBP!$J$45</definedName>
    <definedName name="yrstart">DBP!$I$46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2" i="1" l="1"/>
  <c r="C278" i="1"/>
  <c r="K101" i="1" l="1"/>
  <c r="N117" i="1" l="1"/>
  <c r="M117" i="1"/>
  <c r="L117" i="1"/>
  <c r="K117" i="1"/>
  <c r="I117" i="1"/>
  <c r="E46" i="1"/>
  <c r="J284" i="1"/>
  <c r="C284" i="1"/>
  <c r="K284" i="1"/>
  <c r="G47" i="1"/>
  <c r="S102" i="1"/>
  <c r="S103" i="1"/>
  <c r="S104" i="1"/>
  <c r="S105" i="1"/>
  <c r="S106" i="1"/>
  <c r="S107" i="1"/>
  <c r="S108" i="1"/>
  <c r="S109" i="1"/>
  <c r="S110" i="1"/>
  <c r="S101" i="1"/>
  <c r="H127" i="1"/>
  <c r="R124" i="1"/>
  <c r="Q124" i="1"/>
  <c r="P124" i="1"/>
  <c r="O124" i="1"/>
  <c r="K122" i="1"/>
  <c r="R123" i="1"/>
  <c r="Q123" i="1"/>
  <c r="P123" i="1"/>
  <c r="O123" i="1"/>
  <c r="K128" i="1"/>
  <c r="C269" i="1"/>
  <c r="K269" i="1"/>
  <c r="C266" i="1"/>
  <c r="K266" i="1"/>
  <c r="C265" i="1"/>
  <c r="K265" i="1"/>
  <c r="C264" i="1"/>
  <c r="K264" i="1"/>
  <c r="C273" i="1"/>
  <c r="K273" i="1"/>
  <c r="N102" i="1"/>
  <c r="N103" i="1"/>
  <c r="N104" i="1"/>
  <c r="N105" i="1"/>
  <c r="N106" i="1"/>
  <c r="N107" i="1"/>
  <c r="N108" i="1"/>
  <c r="N109" i="1"/>
  <c r="N110" i="1"/>
  <c r="N101" i="1"/>
  <c r="M102" i="1"/>
  <c r="M103" i="1"/>
  <c r="M104" i="1"/>
  <c r="M105" i="1"/>
  <c r="M106" i="1"/>
  <c r="M107" i="1"/>
  <c r="M108" i="1"/>
  <c r="M109" i="1"/>
  <c r="M110" i="1"/>
  <c r="M101" i="1"/>
  <c r="H292" i="1"/>
  <c r="P292" i="1"/>
  <c r="G292" i="1"/>
  <c r="O292" i="1"/>
  <c r="F292" i="1"/>
  <c r="N292" i="1"/>
  <c r="E292" i="1"/>
  <c r="M292" i="1"/>
  <c r="D292" i="1"/>
  <c r="L292" i="1"/>
  <c r="K292" i="1"/>
  <c r="B138" i="1"/>
  <c r="B137" i="1"/>
  <c r="A115" i="1"/>
  <c r="N124" i="1"/>
  <c r="M124" i="1"/>
  <c r="L124" i="1"/>
  <c r="K124" i="1"/>
  <c r="A118" i="1"/>
  <c r="A120" i="1"/>
  <c r="A121" i="1"/>
  <c r="H301" i="1"/>
  <c r="P301" i="1"/>
  <c r="G301" i="1"/>
  <c r="O301" i="1"/>
  <c r="F301" i="1"/>
  <c r="N301" i="1"/>
  <c r="E301" i="1"/>
  <c r="M301" i="1"/>
  <c r="D301" i="1"/>
  <c r="L301" i="1"/>
  <c r="C301" i="1"/>
  <c r="K301" i="1"/>
  <c r="H300" i="1"/>
  <c r="P300" i="1"/>
  <c r="G300" i="1"/>
  <c r="O300" i="1"/>
  <c r="F300" i="1"/>
  <c r="N300" i="1"/>
  <c r="E300" i="1"/>
  <c r="M300" i="1"/>
  <c r="D300" i="1"/>
  <c r="L300" i="1"/>
  <c r="C300" i="1"/>
  <c r="K300" i="1"/>
  <c r="H299" i="1"/>
  <c r="P299" i="1"/>
  <c r="G299" i="1"/>
  <c r="O299" i="1"/>
  <c r="F299" i="1"/>
  <c r="N299" i="1"/>
  <c r="E299" i="1"/>
  <c r="M299" i="1"/>
  <c r="D299" i="1"/>
  <c r="L299" i="1"/>
  <c r="C299" i="1"/>
  <c r="K299" i="1"/>
  <c r="H298" i="1"/>
  <c r="P298" i="1"/>
  <c r="G298" i="1"/>
  <c r="O298" i="1"/>
  <c r="F298" i="1"/>
  <c r="N298" i="1"/>
  <c r="E298" i="1"/>
  <c r="M298" i="1"/>
  <c r="D298" i="1"/>
  <c r="L298" i="1"/>
  <c r="C298" i="1"/>
  <c r="K298" i="1"/>
  <c r="H297" i="1"/>
  <c r="P297" i="1"/>
  <c r="G297" i="1"/>
  <c r="O297" i="1"/>
  <c r="F297" i="1"/>
  <c r="N297" i="1"/>
  <c r="E297" i="1"/>
  <c r="M297" i="1"/>
  <c r="D297" i="1"/>
  <c r="L297" i="1"/>
  <c r="C297" i="1"/>
  <c r="K297" i="1"/>
  <c r="H296" i="1"/>
  <c r="P296" i="1"/>
  <c r="G296" i="1"/>
  <c r="O296" i="1"/>
  <c r="F296" i="1"/>
  <c r="N296" i="1"/>
  <c r="E296" i="1"/>
  <c r="M296" i="1"/>
  <c r="D296" i="1"/>
  <c r="L296" i="1"/>
  <c r="C296" i="1"/>
  <c r="K296" i="1"/>
  <c r="H295" i="1"/>
  <c r="P295" i="1"/>
  <c r="G295" i="1"/>
  <c r="O295" i="1"/>
  <c r="F295" i="1"/>
  <c r="N295" i="1"/>
  <c r="E295" i="1"/>
  <c r="M295" i="1"/>
  <c r="D295" i="1"/>
  <c r="L295" i="1"/>
  <c r="C295" i="1"/>
  <c r="K295" i="1"/>
  <c r="H294" i="1"/>
  <c r="P294" i="1"/>
  <c r="G294" i="1"/>
  <c r="O294" i="1"/>
  <c r="F294" i="1"/>
  <c r="N294" i="1"/>
  <c r="E294" i="1"/>
  <c r="M294" i="1"/>
  <c r="D294" i="1"/>
  <c r="L294" i="1"/>
  <c r="C294" i="1"/>
  <c r="K294" i="1"/>
  <c r="H293" i="1"/>
  <c r="P293" i="1"/>
  <c r="G293" i="1"/>
  <c r="O293" i="1"/>
  <c r="F293" i="1"/>
  <c r="N293" i="1"/>
  <c r="E293" i="1"/>
  <c r="M293" i="1"/>
  <c r="D293" i="1"/>
  <c r="L293" i="1"/>
  <c r="C293" i="1"/>
  <c r="K293" i="1"/>
  <c r="H290" i="1"/>
  <c r="P290" i="1"/>
  <c r="G290" i="1"/>
  <c r="O290" i="1"/>
  <c r="F290" i="1"/>
  <c r="N290" i="1"/>
  <c r="E290" i="1"/>
  <c r="M290" i="1"/>
  <c r="D290" i="1"/>
  <c r="L290" i="1"/>
  <c r="C290" i="1"/>
  <c r="K290" i="1"/>
  <c r="H289" i="1"/>
  <c r="P289" i="1"/>
  <c r="G289" i="1"/>
  <c r="O289" i="1"/>
  <c r="F289" i="1"/>
  <c r="N289" i="1"/>
  <c r="E289" i="1"/>
  <c r="M289" i="1"/>
  <c r="D289" i="1"/>
  <c r="L289" i="1"/>
  <c r="C289" i="1"/>
  <c r="K289" i="1"/>
  <c r="C282" i="1"/>
  <c r="K282" i="1"/>
  <c r="C281" i="1"/>
  <c r="K281" i="1"/>
  <c r="R110" i="1"/>
  <c r="R109" i="1"/>
  <c r="R108" i="1"/>
  <c r="R107" i="1"/>
  <c r="R106" i="1"/>
  <c r="R105" i="1"/>
  <c r="R104" i="1"/>
  <c r="R103" i="1"/>
  <c r="R102" i="1"/>
  <c r="R101" i="1"/>
  <c r="E287" i="1"/>
  <c r="E291" i="1"/>
  <c r="M291" i="1"/>
  <c r="B51" i="1"/>
  <c r="J73" i="1"/>
  <c r="D130" i="1"/>
  <c r="E347" i="1"/>
  <c r="F347" i="1"/>
  <c r="G347" i="1"/>
  <c r="D347" i="1"/>
  <c r="E344" i="1"/>
  <c r="F344" i="1"/>
  <c r="G344" i="1"/>
  <c r="D344" i="1"/>
  <c r="E346" i="1"/>
  <c r="F346" i="1"/>
  <c r="F348" i="1"/>
  <c r="G346" i="1"/>
  <c r="E343" i="1"/>
  <c r="E345" i="1"/>
  <c r="F343" i="1"/>
  <c r="G343" i="1"/>
  <c r="E341" i="1"/>
  <c r="F341" i="1"/>
  <c r="G341" i="1"/>
  <c r="D341" i="1"/>
  <c r="H341" i="1"/>
  <c r="D346" i="1"/>
  <c r="D348" i="1"/>
  <c r="D340" i="1"/>
  <c r="D343" i="1"/>
  <c r="D345" i="1"/>
  <c r="D334" i="1"/>
  <c r="E131" i="1"/>
  <c r="F131" i="1"/>
  <c r="G131" i="1"/>
  <c r="D131" i="1"/>
  <c r="H131" i="1"/>
  <c r="H117" i="1"/>
  <c r="C315" i="1"/>
  <c r="K315" i="1"/>
  <c r="H116" i="1"/>
  <c r="H115" i="1"/>
  <c r="H118" i="1"/>
  <c r="E130" i="1"/>
  <c r="F130" i="1"/>
  <c r="G130" i="1"/>
  <c r="H129" i="1"/>
  <c r="H128" i="1"/>
  <c r="H125" i="1"/>
  <c r="C318" i="1"/>
  <c r="K318" i="1"/>
  <c r="G53" i="1"/>
  <c r="D59" i="1"/>
  <c r="E59" i="1"/>
  <c r="F59" i="1"/>
  <c r="C59" i="1"/>
  <c r="H123" i="1"/>
  <c r="C316" i="1"/>
  <c r="K316" i="1"/>
  <c r="H124" i="1"/>
  <c r="D275" i="1"/>
  <c r="L275" i="1"/>
  <c r="E275" i="1"/>
  <c r="M275" i="1"/>
  <c r="F275" i="1"/>
  <c r="N275" i="1"/>
  <c r="C275" i="1"/>
  <c r="K275" i="1"/>
  <c r="G96" i="1"/>
  <c r="F273" i="1"/>
  <c r="N273" i="1"/>
  <c r="F96" i="1"/>
  <c r="E273" i="1"/>
  <c r="M273" i="1"/>
  <c r="E96" i="1"/>
  <c r="D273" i="1"/>
  <c r="L273" i="1"/>
  <c r="D96" i="1"/>
  <c r="G90" i="1"/>
  <c r="F90" i="1"/>
  <c r="E90" i="1"/>
  <c r="D90" i="1"/>
  <c r="I46" i="1"/>
  <c r="J45" i="1"/>
  <c r="G46" i="1" s="1"/>
  <c r="D86" i="1"/>
  <c r="E86" i="1"/>
  <c r="F86" i="1"/>
  <c r="G86" i="1"/>
  <c r="H36" i="1"/>
  <c r="E45" i="1"/>
  <c r="E114" i="1"/>
  <c r="F114" i="1"/>
  <c r="G114" i="1"/>
  <c r="D114" i="1"/>
  <c r="D94" i="1"/>
  <c r="E160" i="1"/>
  <c r="F160" i="1"/>
  <c r="G160" i="1"/>
  <c r="D160" i="1"/>
  <c r="Q102" i="1"/>
  <c r="Q103" i="1"/>
  <c r="Q104" i="1"/>
  <c r="Q105" i="1"/>
  <c r="Q106" i="1"/>
  <c r="Q107" i="1"/>
  <c r="Q108" i="1"/>
  <c r="Q109" i="1"/>
  <c r="Q110" i="1"/>
  <c r="Q101" i="1"/>
  <c r="P102" i="1"/>
  <c r="P103" i="1"/>
  <c r="P104" i="1"/>
  <c r="P105" i="1"/>
  <c r="P106" i="1"/>
  <c r="P107" i="1"/>
  <c r="P108" i="1"/>
  <c r="P109" i="1"/>
  <c r="P110" i="1"/>
  <c r="P101" i="1"/>
  <c r="O102" i="1"/>
  <c r="O103" i="1"/>
  <c r="O104" i="1"/>
  <c r="O105" i="1"/>
  <c r="O106" i="1"/>
  <c r="O107" i="1"/>
  <c r="O108" i="1"/>
  <c r="O109" i="1"/>
  <c r="O110" i="1"/>
  <c r="O101" i="1"/>
  <c r="C270" i="1"/>
  <c r="C268" i="1"/>
  <c r="K268" i="1"/>
  <c r="C263" i="1"/>
  <c r="K263" i="1"/>
  <c r="C262" i="1"/>
  <c r="K262" i="1"/>
  <c r="C261" i="1"/>
  <c r="K261" i="1"/>
  <c r="C260" i="1"/>
  <c r="K260" i="1"/>
  <c r="C259" i="1"/>
  <c r="K259" i="1"/>
  <c r="E338" i="1"/>
  <c r="F338" i="1"/>
  <c r="G338" i="1"/>
  <c r="D338" i="1"/>
  <c r="H338" i="1"/>
  <c r="E337" i="1"/>
  <c r="F337" i="1"/>
  <c r="F339" i="1"/>
  <c r="G337" i="1"/>
  <c r="E340" i="1"/>
  <c r="F340" i="1"/>
  <c r="F342" i="1"/>
  <c r="G340" i="1"/>
  <c r="D337" i="1"/>
  <c r="E335" i="1"/>
  <c r="F335" i="1"/>
  <c r="G335" i="1"/>
  <c r="D335" i="1"/>
  <c r="E334" i="1"/>
  <c r="E336" i="1"/>
  <c r="F334" i="1"/>
  <c r="G334" i="1"/>
  <c r="G336" i="1"/>
  <c r="G333" i="1"/>
  <c r="F333" i="1"/>
  <c r="E333" i="1"/>
  <c r="D333" i="1"/>
  <c r="C277" i="1"/>
  <c r="K277" i="1"/>
  <c r="F274" i="1"/>
  <c r="N274" i="1"/>
  <c r="E274" i="1"/>
  <c r="M274" i="1"/>
  <c r="D274" i="1"/>
  <c r="L274" i="1"/>
  <c r="C274" i="1"/>
  <c r="K274" i="1"/>
  <c r="C258" i="1"/>
  <c r="K258" i="1"/>
  <c r="H122" i="1"/>
  <c r="H121" i="1"/>
  <c r="H120" i="1"/>
  <c r="L102" i="1"/>
  <c r="K102" i="1"/>
  <c r="C305" i="1"/>
  <c r="K305" i="1"/>
  <c r="L103" i="1"/>
  <c r="K103" i="1"/>
  <c r="C306" i="1"/>
  <c r="K306" i="1"/>
  <c r="L104" i="1"/>
  <c r="K104" i="1"/>
  <c r="C307" i="1"/>
  <c r="K307" i="1"/>
  <c r="L105" i="1"/>
  <c r="K105" i="1"/>
  <c r="C308" i="1"/>
  <c r="K308" i="1"/>
  <c r="L106" i="1"/>
  <c r="K106" i="1"/>
  <c r="C309" i="1"/>
  <c r="K309" i="1"/>
  <c r="L107" i="1"/>
  <c r="K107" i="1"/>
  <c r="C310" i="1"/>
  <c r="K310" i="1"/>
  <c r="L108" i="1"/>
  <c r="K108" i="1"/>
  <c r="C311" i="1"/>
  <c r="K311" i="1"/>
  <c r="L109" i="1"/>
  <c r="K109" i="1"/>
  <c r="C312" i="1"/>
  <c r="K312" i="1"/>
  <c r="L110" i="1"/>
  <c r="K110" i="1"/>
  <c r="C313" i="1"/>
  <c r="K313" i="1"/>
  <c r="L101" i="1"/>
  <c r="C304" i="1"/>
  <c r="K304" i="1"/>
  <c r="H96" i="1"/>
  <c r="G94" i="1"/>
  <c r="F94" i="1"/>
  <c r="E94" i="1"/>
  <c r="C317" i="1"/>
  <c r="K317" i="1"/>
  <c r="L128" i="1"/>
  <c r="M128" i="1"/>
  <c r="N128" i="1"/>
  <c r="G348" i="1"/>
  <c r="D339" i="1"/>
  <c r="H344" i="1"/>
  <c r="E348" i="1"/>
  <c r="H347" i="1"/>
  <c r="E339" i="1"/>
  <c r="G345" i="1"/>
  <c r="L123" i="1"/>
  <c r="M123" i="1"/>
  <c r="M122" i="1"/>
  <c r="D342" i="1"/>
  <c r="F345" i="1"/>
  <c r="I345" i="1"/>
  <c r="A116" i="1"/>
  <c r="L122" i="1"/>
  <c r="N122" i="1"/>
  <c r="N123" i="1"/>
  <c r="G339" i="1"/>
  <c r="F287" i="1"/>
  <c r="F291" i="1"/>
  <c r="N291" i="1"/>
  <c r="G342" i="1"/>
  <c r="I124" i="1"/>
  <c r="A124" i="1"/>
  <c r="G52" i="1"/>
  <c r="I45" i="1"/>
  <c r="G45" i="1" s="1"/>
  <c r="H348" i="1"/>
  <c r="C287" i="1"/>
  <c r="C291" i="1"/>
  <c r="K291" i="1"/>
  <c r="H343" i="1"/>
  <c r="E342" i="1"/>
  <c r="H342" i="1"/>
  <c r="J124" i="1"/>
  <c r="H346" i="1"/>
  <c r="D287" i="1"/>
  <c r="D291" i="1"/>
  <c r="L291" i="1"/>
  <c r="I128" i="1"/>
  <c r="J128" i="1"/>
  <c r="K123" i="1"/>
  <c r="I123" i="1"/>
  <c r="A123" i="1"/>
  <c r="G287" i="1"/>
  <c r="G291" i="1"/>
  <c r="O291" i="1"/>
  <c r="A117" i="1"/>
  <c r="H287" i="1"/>
  <c r="H291" i="1"/>
  <c r="P291" i="1"/>
  <c r="A128" i="1"/>
  <c r="I342" i="1"/>
  <c r="K342" i="1"/>
  <c r="J123" i="1"/>
  <c r="C322" i="1"/>
  <c r="K322" i="1"/>
  <c r="H339" i="1"/>
  <c r="F336" i="1"/>
  <c r="H334" i="1"/>
  <c r="D336" i="1"/>
  <c r="H335" i="1"/>
  <c r="H337" i="1"/>
  <c r="H340" i="1"/>
  <c r="I122" i="1"/>
  <c r="I339" i="1"/>
  <c r="J96" i="1"/>
  <c r="H345" i="1"/>
  <c r="I348" i="1"/>
  <c r="K348" i="1"/>
  <c r="K278" i="1"/>
  <c r="C321" i="1"/>
  <c r="K321" i="1"/>
  <c r="K339" i="1"/>
  <c r="C323" i="1"/>
  <c r="K323" i="1"/>
  <c r="K345" i="1"/>
  <c r="J122" i="1"/>
  <c r="A122" i="1"/>
  <c r="H336" i="1"/>
  <c r="I336" i="1"/>
  <c r="C324" i="1"/>
  <c r="K324" i="1"/>
  <c r="C320" i="1"/>
  <c r="K320" i="1"/>
  <c r="K336" i="1"/>
  <c r="C328" i="1"/>
  <c r="K328" i="1"/>
  <c r="H130" i="1"/>
  <c r="I131" i="1"/>
  <c r="A131" i="1"/>
  <c r="I125" i="1"/>
  <c r="A125" i="1"/>
  <c r="I130" i="1"/>
  <c r="A130" i="1"/>
  <c r="C330" i="1"/>
  <c r="K330" i="1"/>
  <c r="O129" i="1" l="1"/>
  <c r="K127" i="1" s="1"/>
  <c r="P129" i="1"/>
  <c r="L127" i="1" s="1"/>
  <c r="Q129" i="1"/>
  <c r="M129" i="1" s="1"/>
  <c r="C115" i="1"/>
  <c r="B91" i="1"/>
  <c r="B95" i="1"/>
  <c r="C89" i="1"/>
  <c r="B96" i="1"/>
  <c r="C85" i="1"/>
  <c r="B87" i="1"/>
  <c r="B118" i="1"/>
  <c r="C116" i="1"/>
  <c r="C117" i="1"/>
  <c r="I94" i="1"/>
  <c r="C93" i="1"/>
  <c r="C128" i="1"/>
  <c r="C127" i="1"/>
  <c r="B130" i="1"/>
  <c r="C129" i="1"/>
  <c r="R129" i="1"/>
  <c r="M127" i="1" l="1"/>
  <c r="K129" i="1"/>
  <c r="L129" i="1"/>
  <c r="N129" i="1"/>
  <c r="N127" i="1"/>
  <c r="I127" i="1" l="1"/>
  <c r="J127" i="1" s="1"/>
  <c r="I129" i="1"/>
  <c r="J129" i="1" s="1"/>
  <c r="A127" i="1" l="1"/>
  <c r="A129" i="1"/>
  <c r="I132" i="1" l="1"/>
  <c r="C325" i="1" s="1"/>
  <c r="C329" i="1"/>
  <c r="K329" i="1" s="1"/>
  <c r="K256" i="1" s="1"/>
  <c r="I203" i="1" s="1"/>
  <c r="B254" i="1" l="1"/>
  <c r="I1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155" authorId="0" shapeId="0" xr:uid="{00000000-0006-0000-0000-000001000000}">
      <text>
        <r>
          <rPr>
            <b/>
            <sz val="8"/>
            <color indexed="81"/>
            <rFont val="Tahoma"/>
            <family val="2"/>
          </rPr>
          <t>O'Meagher :</t>
        </r>
        <r>
          <rPr>
            <sz val="8"/>
            <color indexed="81"/>
            <rFont val="Tahoma"/>
            <family val="2"/>
          </rPr>
          <t xml:space="preserve">
Include the total value of ALL ASSETS in the Fund at the end of the financial year.</t>
        </r>
      </text>
    </comment>
  </commentList>
</comments>
</file>

<file path=xl/sharedStrings.xml><?xml version="1.0" encoding="utf-8"?>
<sst xmlns="http://schemas.openxmlformats.org/spreadsheetml/2006/main" count="328" uniqueCount="258">
  <si>
    <t xml:space="preserve">Name of Administration/Advisors Company: </t>
  </si>
  <si>
    <t xml:space="preserve">Client Reference: </t>
  </si>
  <si>
    <t xml:space="preserve">Postal Address of Administration Company: </t>
  </si>
  <si>
    <t xml:space="preserve">Phone Number: </t>
  </si>
  <si>
    <t xml:space="preserve">State/Territory: </t>
  </si>
  <si>
    <t xml:space="preserve">Postcode: </t>
  </si>
  <si>
    <t>ACT</t>
  </si>
  <si>
    <t>NSW</t>
  </si>
  <si>
    <t>NT</t>
  </si>
  <si>
    <t>QLD</t>
  </si>
  <si>
    <t>SA</t>
  </si>
  <si>
    <t>TAS</t>
  </si>
  <si>
    <t>VIC</t>
  </si>
  <si>
    <t>WA</t>
  </si>
  <si>
    <t xml:space="preserve">Person to contact for further info/clarification: </t>
  </si>
  <si>
    <t xml:space="preserve">Email Address of Contact Person: </t>
  </si>
  <si>
    <t xml:space="preserve">Please also email certificate to (name): </t>
  </si>
  <si>
    <t xml:space="preserve">Additional Email Address: </t>
  </si>
  <si>
    <t xml:space="preserve">Name of Superannuation Fund: </t>
  </si>
  <si>
    <t>Name of Corporate Trustee (if appropriate):</t>
  </si>
  <si>
    <t xml:space="preserve">Full Name of Trustee 1: </t>
  </si>
  <si>
    <t xml:space="preserve">Full Name of Trustee 2: </t>
  </si>
  <si>
    <t xml:space="preserve">Full Name of Trustee 3: </t>
  </si>
  <si>
    <t xml:space="preserve">Full Name of Trustee 4: </t>
  </si>
  <si>
    <t>Member Information</t>
  </si>
  <si>
    <t>Member 1</t>
  </si>
  <si>
    <t>Member 2</t>
  </si>
  <si>
    <t>Member 3</t>
  </si>
  <si>
    <t>Member 4</t>
  </si>
  <si>
    <t>Reserve</t>
  </si>
  <si>
    <t>No</t>
  </si>
  <si>
    <t xml:space="preserve">Member Firstname: </t>
  </si>
  <si>
    <t xml:space="preserve">Member Surname: </t>
  </si>
  <si>
    <r>
      <t xml:space="preserve">Date of Birth </t>
    </r>
    <r>
      <rPr>
        <sz val="8"/>
        <color indexed="8"/>
        <rFont val="Arial"/>
        <family val="2"/>
      </rPr>
      <t>(</t>
    </r>
    <r>
      <rPr>
        <b/>
        <sz val="8"/>
        <color indexed="8"/>
        <rFont val="Arial"/>
        <family val="2"/>
      </rPr>
      <t>DD/MM/YYYY</t>
    </r>
    <r>
      <rPr>
        <sz val="8"/>
        <color indexed="8"/>
        <rFont val="Arial"/>
        <family val="2"/>
      </rPr>
      <t xml:space="preserve">): </t>
    </r>
  </si>
  <si>
    <t xml:space="preserve">This application is to request an actuarial certificate that covers the </t>
  </si>
  <si>
    <t xml:space="preserve"> income year.</t>
  </si>
  <si>
    <t>Were there segregated assets in the Fund?</t>
  </si>
  <si>
    <t xml:space="preserve">TRANSACTION DATES  </t>
  </si>
  <si>
    <t>Name of Fund</t>
  </si>
  <si>
    <t>Names of Trustees</t>
  </si>
  <si>
    <t>Year required for</t>
  </si>
  <si>
    <t>INTERNAL TRANSFERS (Including Pension Commmencements/Commutations)</t>
  </si>
  <si>
    <t>Did this leave the balance of the From Account at zero?</t>
  </si>
  <si>
    <t>Description of Internal Transfer</t>
  </si>
  <si>
    <t>Date of Transfer</t>
  </si>
  <si>
    <t>From Account</t>
  </si>
  <si>
    <t>To Account</t>
  </si>
  <si>
    <t>Amount</t>
  </si>
  <si>
    <t>TRANSACTION DETAILS</t>
  </si>
  <si>
    <t>TOTALS</t>
  </si>
  <si>
    <t>Please check that the Opening &amp; Closing Balances accurately reflect those in the Fund's financial statements.</t>
  </si>
  <si>
    <t>Start New Pension</t>
  </si>
  <si>
    <t>Mem1 Accum</t>
  </si>
  <si>
    <t>Cease/Commute Pension</t>
  </si>
  <si>
    <t>Mem2 Accum</t>
  </si>
  <si>
    <t>Contribution Split</t>
  </si>
  <si>
    <t>Mem3 Accum</t>
  </si>
  <si>
    <t>Allocation to/from Reserve</t>
  </si>
  <si>
    <t>Mem4 Accum</t>
  </si>
  <si>
    <t>Combine pension &amp; accum into new pension</t>
  </si>
  <si>
    <t>Other (use comments section to outline)</t>
  </si>
  <si>
    <t>Transaction Type</t>
  </si>
  <si>
    <t>Transaction Date</t>
  </si>
  <si>
    <t>CONTRIBUTION</t>
  </si>
  <si>
    <t>TRANSFER IN</t>
  </si>
  <si>
    <t>ACCUMULATION BENEFIT</t>
  </si>
  <si>
    <t>Please include Special Instructions &amp; requests in the Comments section rather than in the email.  Also mention if there were segregated assets whose values weren't included in this application form.</t>
  </si>
  <si>
    <t>Admin Company Name</t>
  </si>
  <si>
    <t>Postal Address</t>
  </si>
  <si>
    <t>Town/Suburb/City</t>
  </si>
  <si>
    <t>STATE</t>
  </si>
  <si>
    <t>Postcode</t>
  </si>
  <si>
    <t>Phone Number</t>
  </si>
  <si>
    <t>Contact Person</t>
  </si>
  <si>
    <t>Contact Email Address</t>
  </si>
  <si>
    <t>Additional Email Address</t>
  </si>
  <si>
    <t>Member Names</t>
  </si>
  <si>
    <t>Dates of Birth</t>
  </si>
  <si>
    <t>MEMBER 1</t>
  </si>
  <si>
    <t>MEMBER 2</t>
  </si>
  <si>
    <t>MEMBER 3</t>
  </si>
  <si>
    <t>MEMBER 4</t>
  </si>
  <si>
    <t>Pension Balances</t>
  </si>
  <si>
    <t>INTERNAL TRANSFERS</t>
  </si>
  <si>
    <t>Transfer 1</t>
  </si>
  <si>
    <t>Transfer 2</t>
  </si>
  <si>
    <t>Transfer 3</t>
  </si>
  <si>
    <t>Transfer 4</t>
  </si>
  <si>
    <t>Transfer 5</t>
  </si>
  <si>
    <t>Transfer 6</t>
  </si>
  <si>
    <t>Transfer 7</t>
  </si>
  <si>
    <t>Transfer 8</t>
  </si>
  <si>
    <t>Transfer 9</t>
  </si>
  <si>
    <t>Transfer 10</t>
  </si>
  <si>
    <t>Contributions</t>
  </si>
  <si>
    <t>Transfers In</t>
  </si>
  <si>
    <t>TRANSACTION DATES/DETAILS RECONCILIATION:</t>
  </si>
  <si>
    <t>CONTRIBUTIONS - amt expected</t>
  </si>
  <si>
    <t>CONTRIBUTIONS - amt listed</t>
  </si>
  <si>
    <t>MISSING</t>
  </si>
  <si>
    <t>TRANSFERS IN - amt expected</t>
  </si>
  <si>
    <t>TRANSFERS IN - amt listed</t>
  </si>
  <si>
    <t>If No - what amount was left?</t>
  </si>
  <si>
    <t>Good?</t>
  </si>
  <si>
    <t>NumBlanks</t>
  </si>
  <si>
    <t>TOTAL</t>
  </si>
  <si>
    <t>Provide Dates of Birth for members with non-zero balances</t>
  </si>
  <si>
    <t>Provide Firstnames and Surnames</t>
  </si>
  <si>
    <t>PenComm</t>
  </si>
  <si>
    <t>CeasePen</t>
  </si>
  <si>
    <t>Cont Split</t>
  </si>
  <si>
    <t>Res Alloc</t>
  </si>
  <si>
    <t>Combine</t>
  </si>
  <si>
    <r>
      <t xml:space="preserve">When completed, </t>
    </r>
    <r>
      <rPr>
        <b/>
        <sz val="11"/>
        <color indexed="12"/>
        <rFont val="Arial"/>
        <family val="2"/>
      </rPr>
      <t>save with name</t>
    </r>
    <r>
      <rPr>
        <b/>
        <sz val="11"/>
        <rFont val="Arial"/>
        <family val="2"/>
      </rPr>
      <t xml:space="preserve"> (e.g. </t>
    </r>
    <r>
      <rPr>
        <b/>
        <sz val="11"/>
        <color indexed="10"/>
        <rFont val="Arial"/>
        <family val="2"/>
      </rPr>
      <t>Smith SF 2008.xls</t>
    </r>
    <r>
      <rPr>
        <b/>
        <sz val="11"/>
        <rFont val="Arial"/>
        <family val="2"/>
      </rPr>
      <t xml:space="preserve">), then email to </t>
    </r>
    <r>
      <rPr>
        <b/>
        <sz val="11"/>
        <color indexed="12"/>
        <rFont val="Arial"/>
        <family val="2"/>
      </rPr>
      <t xml:space="preserve">act@act2.com.au </t>
    </r>
    <r>
      <rPr>
        <b/>
        <sz val="11"/>
        <rFont val="Arial"/>
        <family val="2"/>
      </rPr>
      <t xml:space="preserve">as an </t>
    </r>
    <r>
      <rPr>
        <b/>
        <sz val="11"/>
        <color indexed="12"/>
        <rFont val="Arial"/>
        <family val="2"/>
      </rPr>
      <t xml:space="preserve">Excel </t>
    </r>
    <r>
      <rPr>
        <b/>
        <sz val="11"/>
        <rFont val="Arial"/>
        <family val="2"/>
      </rPr>
      <t>attachment.</t>
    </r>
  </si>
  <si>
    <t xml:space="preserve">Postal Address - Town/Suburb/City: </t>
  </si>
  <si>
    <t>FUND ADMINISTRATOR / ADVISER DETAILS</t>
  </si>
  <si>
    <t>FUND IDENTIFICATION DETAILS</t>
  </si>
  <si>
    <t>MEMBERSHIP DETAILS</t>
  </si>
  <si>
    <t>OPENING BALANCES  -  By Member Accounts</t>
  </si>
  <si>
    <t>COMMENTS SECTION</t>
  </si>
  <si>
    <t>Male</t>
  </si>
  <si>
    <t>Female</t>
  </si>
  <si>
    <t>DBP Reserve</t>
  </si>
  <si>
    <t>Accumulation Benefits Paid</t>
  </si>
  <si>
    <t>Member Gender:</t>
  </si>
  <si>
    <t>Member Gender</t>
  </si>
  <si>
    <t>Gender is primarily for members with Defined Benefit Pensions</t>
  </si>
  <si>
    <t>The DBP reserve can be listed separately or as part of the assets supporting each of the DB Pensions.</t>
  </si>
  <si>
    <t>ACCOUNT-BASED PMNT</t>
  </si>
  <si>
    <t>DEFINED-BENEFIT PMNT</t>
  </si>
  <si>
    <t>DEFINED BENEFIT PENSION DETAILS</t>
  </si>
  <si>
    <t>DB Pension 1</t>
  </si>
  <si>
    <t>DB Pension 2</t>
  </si>
  <si>
    <t>DB Pension 3</t>
  </si>
  <si>
    <t>DB Pension 4</t>
  </si>
  <si>
    <t>DB Pension 5</t>
  </si>
  <si>
    <t>DB Pension 6</t>
  </si>
  <si>
    <t>Pension Commenced</t>
  </si>
  <si>
    <t>Date Ceased (if in year)</t>
  </si>
  <si>
    <t>DBP Payment last year</t>
  </si>
  <si>
    <t>Annual Indexation Level</t>
  </si>
  <si>
    <t>Pension expiry - death or term (num years at start)</t>
  </si>
  <si>
    <t>Reversionary Percentage</t>
  </si>
  <si>
    <t>Reversioner DoB</t>
  </si>
  <si>
    <t>Reversioner Gender</t>
  </si>
  <si>
    <t>Residual Capital Value</t>
  </si>
  <si>
    <t>Is indexation guaranteed</t>
  </si>
  <si>
    <t>Reversionary</t>
  </si>
  <si>
    <t>15 years</t>
  </si>
  <si>
    <t>Pension Design</t>
  </si>
  <si>
    <t>SIS Pension Specification (if known)</t>
  </si>
  <si>
    <t>1.06(7) Life Expectancy</t>
  </si>
  <si>
    <t>Example only</t>
  </si>
  <si>
    <t>SUPERANNUATION GUARANTEE INFORMATION</t>
  </si>
  <si>
    <t>Conservative</t>
  </si>
  <si>
    <t>Moderate</t>
  </si>
  <si>
    <t>Balanced</t>
  </si>
  <si>
    <t>Growth</t>
  </si>
  <si>
    <t>High Growth</t>
  </si>
  <si>
    <t>0 - 20% in growth assets</t>
  </si>
  <si>
    <t>20 - 40% in growth assets</t>
  </si>
  <si>
    <t>40 - 60% in growth assets</t>
  </si>
  <si>
    <t>60 - 80% in growth assets</t>
  </si>
  <si>
    <t>80 - 100% in growth assets</t>
  </si>
  <si>
    <t>Long - Term Investment Strategies</t>
  </si>
  <si>
    <t>Which long-term investment strategy is in place for each member?</t>
  </si>
  <si>
    <t>LONG-TERM INVESTMENT STRATEGIES</t>
  </si>
  <si>
    <t>APPLICABLE FINANCIAL YEAR</t>
  </si>
  <si>
    <t>Expected Closing Balances</t>
  </si>
  <si>
    <r>
      <t xml:space="preserve">Amount </t>
    </r>
    <r>
      <rPr>
        <b/>
        <sz val="10"/>
        <color indexed="16"/>
        <rFont val="Arial"/>
        <family val="2"/>
      </rPr>
      <t>Contributed</t>
    </r>
    <r>
      <rPr>
        <b/>
        <sz val="10"/>
        <color indexed="18"/>
        <rFont val="Arial"/>
        <family val="2"/>
      </rPr>
      <t xml:space="preserve"> into Accumulation</t>
    </r>
  </si>
  <si>
    <r>
      <rPr>
        <b/>
        <sz val="10"/>
        <color indexed="16"/>
        <rFont val="Arial"/>
        <family val="2"/>
      </rPr>
      <t>Accumulation</t>
    </r>
    <r>
      <rPr>
        <b/>
        <sz val="10"/>
        <color indexed="18"/>
        <rFont val="Arial"/>
        <family val="2"/>
      </rPr>
      <t xml:space="preserve"> Benefits Paid</t>
    </r>
  </si>
  <si>
    <r>
      <rPr>
        <b/>
        <sz val="10"/>
        <color indexed="16"/>
        <rFont val="Arial"/>
        <family val="2"/>
      </rPr>
      <t>Account-Based Pension</t>
    </r>
    <r>
      <rPr>
        <b/>
        <sz val="10"/>
        <color indexed="18"/>
        <rFont val="Arial"/>
        <family val="2"/>
      </rPr>
      <t xml:space="preserve"> Benefits Paid</t>
    </r>
  </si>
  <si>
    <r>
      <rPr>
        <b/>
        <sz val="10"/>
        <color indexed="16"/>
        <rFont val="Arial"/>
        <family val="2"/>
      </rPr>
      <t>Defined-Benefit Pension</t>
    </r>
    <r>
      <rPr>
        <b/>
        <sz val="10"/>
        <color indexed="18"/>
        <rFont val="Arial"/>
        <family val="2"/>
      </rPr>
      <t xml:space="preserve"> Benefits Paid</t>
    </r>
  </si>
  <si>
    <r>
      <rPr>
        <b/>
        <sz val="10"/>
        <color indexed="16"/>
        <rFont val="Arial"/>
        <family val="2"/>
      </rPr>
      <t>Net Income</t>
    </r>
    <r>
      <rPr>
        <b/>
        <sz val="10"/>
        <color indexed="18"/>
        <rFont val="Arial"/>
        <family val="2"/>
      </rPr>
      <t xml:space="preserve"> per Member </t>
    </r>
  </si>
  <si>
    <t>ACCUM BENEFITS PAID - amt expected</t>
  </si>
  <si>
    <t>ACCUM BENEFITS PAID - amt listed</t>
  </si>
  <si>
    <t>AB PENS BENEFITS PAID - amt expected</t>
  </si>
  <si>
    <t>AB PENS BENEFITS PAID - amt listed</t>
  </si>
  <si>
    <t>DB PENS BENEFITS PAID - amt expected</t>
  </si>
  <si>
    <t>DB PENS BENEFITS PAID - amt listed</t>
  </si>
  <si>
    <t>Yes</t>
  </si>
  <si>
    <t xml:space="preserve">Do any members' account balances contain contributions by employers in respect of Superannuation Guarantee obligations? </t>
  </si>
  <si>
    <t xml:space="preserve">Are there sufficient liquid assets within the Fund to pay pensions for the next two years? </t>
  </si>
  <si>
    <t>Account-Based Benefits Paid</t>
  </si>
  <si>
    <t>Defined Benefits Paid</t>
  </si>
  <si>
    <t>Same for whole Fund</t>
  </si>
  <si>
    <t>Mem1 AB Pens</t>
  </si>
  <si>
    <t>Mem2 AB Pens</t>
  </si>
  <si>
    <t>Mem3 AB Pens</t>
  </si>
  <si>
    <t>Mem4 AB Pens</t>
  </si>
  <si>
    <t>Has an approved auditor issued an unqualified audit opinion in respect of the above Closing Balance?</t>
  </si>
  <si>
    <t># Ceased</t>
  </si>
  <si>
    <t>Pensions</t>
  </si>
  <si>
    <t>SUPER GUARANTEE</t>
  </si>
  <si>
    <t>Total SG Contributions</t>
  </si>
  <si>
    <t>Funding and Solvency Cert</t>
  </si>
  <si>
    <t>INVESTMENT STRATEGY</t>
  </si>
  <si>
    <t>Defined Benefit Pensions</t>
  </si>
  <si>
    <t>Member Name</t>
  </si>
  <si>
    <t>Commencement Date</t>
  </si>
  <si>
    <t>Commutation Date</t>
  </si>
  <si>
    <t>SIS Pension Specification</t>
  </si>
  <si>
    <t>Opening Balances</t>
  </si>
  <si>
    <t>AB Pension Payments</t>
  </si>
  <si>
    <t>DB Pension Payments</t>
  </si>
  <si>
    <t>Net Income</t>
  </si>
  <si>
    <t>TRANSACTION TABLE</t>
  </si>
  <si>
    <t>If there were segregated assets not shown in this form, please show the TOTAL closing balance of the Fund</t>
  </si>
  <si>
    <t/>
  </si>
  <si>
    <t>TRANSACTION DETAILS SECTION</t>
  </si>
  <si>
    <t>BENEFIT PAYMENTS</t>
  </si>
  <si>
    <t>CLOSING ACCOUNTS</t>
  </si>
  <si>
    <t>CLOSING FIGURES</t>
  </si>
  <si>
    <t>DETAILS OF COMPANY TO BE ISSUED INVOICE / RECEIPT</t>
  </si>
  <si>
    <t xml:space="preserve">Name of Company to be Invoiced: </t>
  </si>
  <si>
    <t>Only complete if the invoice is to be issued to someone other than Trustees or Administrator</t>
  </si>
  <si>
    <t xml:space="preserve">Postal Address of Invoiced Company: </t>
  </si>
  <si>
    <t xml:space="preserve">Contact Person at Invoiced Company: </t>
  </si>
  <si>
    <t>CREDIT CARD PAYMENT DETAILS</t>
  </si>
  <si>
    <t xml:space="preserve">Credit Card Number (groups of 4 digits): </t>
  </si>
  <si>
    <t>XXXX</t>
  </si>
  <si>
    <t>Clients are not expected or required to pay up-front via Credit Card.  This is simply an option for those who prefer to do so!</t>
  </si>
  <si>
    <t xml:space="preserve">Name as it appears on Credit Card: </t>
  </si>
  <si>
    <t xml:space="preserve">Credit Card Type: </t>
  </si>
  <si>
    <t>Expiry Month</t>
  </si>
  <si>
    <t>Expiry Year</t>
  </si>
  <si>
    <t>If you have not already done so, please send through a note/letter/completed invoice showing the above credit card details with your signature.  Once we</t>
  </si>
  <si>
    <t>have one copy of your signature on file, we can process further payments without you having to re-send your signature.</t>
  </si>
  <si>
    <t>DEFINED-BENEFIT PENSION APPLICATION FORM - Assisted</t>
  </si>
  <si>
    <r>
      <t xml:space="preserve">FORM COMPLETION CHECKING AREA - You don't want to see any </t>
    </r>
    <r>
      <rPr>
        <b/>
        <sz val="16"/>
        <color indexed="10"/>
        <rFont val="Arial"/>
        <family val="2"/>
      </rPr>
      <t>RED</t>
    </r>
    <r>
      <rPr>
        <b/>
        <sz val="16"/>
        <color indexed="62"/>
        <rFont val="Arial"/>
        <family val="2"/>
      </rPr>
      <t xml:space="preserve"> down here.</t>
    </r>
  </si>
  <si>
    <t>ABP Start</t>
  </si>
  <si>
    <t>ABP End</t>
  </si>
  <si>
    <t>(new pensions during the year)</t>
  </si>
  <si>
    <t>(pensions ceasing during the year)</t>
  </si>
  <si>
    <t>DBP End</t>
  </si>
  <si>
    <t>DB Pension Member</t>
  </si>
  <si>
    <t>DB Pens</t>
  </si>
  <si>
    <t>Ceased</t>
  </si>
  <si>
    <t>2017/18</t>
  </si>
  <si>
    <t>2014/15</t>
  </si>
  <si>
    <t>2018/19</t>
  </si>
  <si>
    <t>2019/20</t>
  </si>
  <si>
    <t>2020/21</t>
  </si>
  <si>
    <t>2021/22</t>
  </si>
  <si>
    <t>2022/23</t>
  </si>
  <si>
    <t>If you would like assistance with this form, please call Act2 Solutions on 1800 230 737</t>
  </si>
  <si>
    <t>ver2020DBAv1</t>
  </si>
  <si>
    <t>2023/24</t>
  </si>
  <si>
    <t>2024/25</t>
  </si>
  <si>
    <t>If you would like any assistance with the completion of this form, please call Act2 Solutions on 1800 230 737</t>
  </si>
  <si>
    <t>Reserve?</t>
  </si>
  <si>
    <r>
      <t xml:space="preserve">Indicate below if the Fund held a reserve at any time during the year.
</t>
    </r>
    <r>
      <rPr>
        <b/>
        <sz val="9"/>
        <color indexed="12"/>
        <rFont val="Verdana"/>
        <family val="2"/>
      </rPr>
      <t>(other than the Defined Benefit reserves)</t>
    </r>
  </si>
  <si>
    <r>
      <t>Amount</t>
    </r>
    <r>
      <rPr>
        <b/>
        <sz val="10"/>
        <color indexed="10"/>
        <rFont val="Arial"/>
        <family val="2"/>
      </rPr>
      <t xml:space="preserve"> </t>
    </r>
    <r>
      <rPr>
        <b/>
        <sz val="10"/>
        <color indexed="16"/>
        <rFont val="Arial"/>
        <family val="2"/>
      </rPr>
      <t>Transferred In</t>
    </r>
    <r>
      <rPr>
        <b/>
        <sz val="10"/>
        <color indexed="18"/>
        <rFont val="Arial"/>
        <family val="2"/>
      </rPr>
      <t xml:space="preserve"> to the Fund</t>
    </r>
  </si>
  <si>
    <t>When emailing this form, please include a copy of the previous actuarial certificate prepared for this Fund (if not prepared by Act2 Solutions).</t>
  </si>
  <si>
    <t xml:space="preserve">Superannuation Fund ABN: </t>
  </si>
  <si>
    <t xml:space="preserve">Your reference for this fund: </t>
  </si>
  <si>
    <t xml:space="preserve">        Additional Fund Identification</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</si>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</sst>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quot;$&quot;#,##0"/>
    <numFmt numFmtId="165" formatCode="_-* #,##0_-;\-* #,##0_-;_-* &quot;-&quot;??_-;_-@_-"/>
    <numFmt numFmtId="166" formatCode="dd/mm/yyyy;@"/>
    <numFmt numFmtId="167" formatCode="0.0%"/>
    <numFmt numFmtId="168" formatCode="_-&quot;$&quot;* #,##0_-;\-&quot;$&quot;* #,##0_-;_-&quot;$&quot;* &quot;-&quot;??_-;_-@_-"/>
  </numFmts>
  <fonts count="92" x14ac:knownFonts="1">
    <font>
      <sz val="11"/>
      <color theme="1"/>
      <name val="Calibri"/>
      <family val="2"/>
      <scheme val="minor"/>
    </font>
    <font>
      <sz val="11"/>
      <color indexed="8"/>
      <name val="Calibri"/>
      <family val="2"/>
    </font>
    <font>
      <sz val="11"/>
      <color indexed="8"/>
      <name val="Calibri"/>
      <family val="2"/>
    </font>
    <font>
      <b/>
      <sz val="11"/>
      <color indexed="56"/>
      <name val="Calibri"/>
      <family val="2"/>
    </font>
    <font>
      <b/>
      <sz val="11"/>
      <color indexed="8"/>
      <name val="Calibri"/>
      <family val="2"/>
    </font>
    <font>
      <sz val="11"/>
      <color indexed="9"/>
      <name val="Calibri"/>
      <family val="2"/>
    </font>
    <font>
      <sz val="10"/>
      <name val="Arial"/>
      <family val="2"/>
    </font>
    <font>
      <b/>
      <sz val="9"/>
      <color indexed="8"/>
      <name val="Verdana"/>
      <family val="2"/>
    </font>
    <font>
      <sz val="10"/>
      <color indexed="8"/>
      <name val="Verdana"/>
      <family val="2"/>
    </font>
    <font>
      <b/>
      <sz val="10"/>
      <color indexed="8"/>
      <name val="Verdana"/>
      <family val="2"/>
    </font>
    <font>
      <b/>
      <sz val="10"/>
      <name val="Arial"/>
      <family val="2"/>
    </font>
    <font>
      <b/>
      <i/>
      <sz val="10"/>
      <color indexed="10"/>
      <name val="Arial"/>
      <family val="2"/>
    </font>
    <font>
      <sz val="9"/>
      <name val="Arial"/>
      <family val="2"/>
    </font>
    <font>
      <sz val="10"/>
      <color indexed="9"/>
      <name val="Arial"/>
      <family val="2"/>
    </font>
    <font>
      <b/>
      <sz val="10"/>
      <color indexed="10"/>
      <name val="Arial"/>
      <family val="2"/>
    </font>
    <font>
      <sz val="10"/>
      <name val="Arial"/>
      <family val="2"/>
    </font>
    <font>
      <sz val="10"/>
      <color indexed="8"/>
      <name val="Arial"/>
      <family val="2"/>
    </font>
    <font>
      <b/>
      <sz val="8"/>
      <color indexed="8"/>
      <name val="Arial"/>
      <family val="2"/>
    </font>
    <font>
      <b/>
      <sz val="10"/>
      <color indexed="12"/>
      <name val="Arial"/>
      <family val="2"/>
    </font>
    <font>
      <b/>
      <sz val="11"/>
      <color indexed="10"/>
      <name val="Arial"/>
      <family val="2"/>
    </font>
    <font>
      <b/>
      <i/>
      <sz val="10"/>
      <color indexed="23"/>
      <name val="Arial"/>
      <family val="2"/>
    </font>
    <font>
      <b/>
      <sz val="10"/>
      <color indexed="23"/>
      <name val="Arial"/>
      <family val="2"/>
    </font>
    <font>
      <sz val="9"/>
      <color indexed="23"/>
      <name val="Arial"/>
      <family val="2"/>
    </font>
    <font>
      <b/>
      <sz val="10"/>
      <color indexed="8"/>
      <name val="Arial"/>
      <family val="2"/>
    </font>
    <font>
      <b/>
      <sz val="10"/>
      <color indexed="18"/>
      <name val="Arial"/>
      <family val="2"/>
    </font>
    <font>
      <sz val="8"/>
      <color indexed="8"/>
      <name val="Arial"/>
      <family val="2"/>
    </font>
    <font>
      <b/>
      <sz val="12"/>
      <color indexed="18"/>
      <name val="Arial"/>
      <family val="2"/>
    </font>
    <font>
      <b/>
      <sz val="11"/>
      <name val="Arial"/>
      <family val="2"/>
    </font>
    <font>
      <b/>
      <sz val="11"/>
      <color indexed="12"/>
      <name val="Arial"/>
      <family val="2"/>
    </font>
    <font>
      <sz val="9"/>
      <color indexed="9"/>
      <name val="Verdana"/>
      <family val="2"/>
    </font>
    <font>
      <b/>
      <sz val="12"/>
      <color indexed="8"/>
      <name val="Verdana"/>
      <family val="2"/>
    </font>
    <font>
      <b/>
      <sz val="11"/>
      <color indexed="17"/>
      <name val="Arial"/>
      <family val="2"/>
    </font>
    <font>
      <sz val="14"/>
      <color indexed="8"/>
      <name val="Verdana"/>
      <family val="2"/>
    </font>
    <font>
      <b/>
      <sz val="9"/>
      <color indexed="8"/>
      <name val="Arial"/>
      <family val="2"/>
    </font>
    <font>
      <b/>
      <sz val="12"/>
      <color indexed="18"/>
      <name val="Verdana"/>
      <family val="2"/>
    </font>
    <font>
      <sz val="11"/>
      <color indexed="8"/>
      <name val="Calibri"/>
      <family val="2"/>
    </font>
    <font>
      <sz val="10"/>
      <color indexed="62"/>
      <name val="Verdana"/>
      <family val="2"/>
    </font>
    <font>
      <sz val="10"/>
      <color indexed="10"/>
      <name val="Verdana"/>
      <family val="2"/>
    </font>
    <font>
      <b/>
      <sz val="11"/>
      <color indexed="56"/>
      <name val="Arial"/>
      <family val="2"/>
    </font>
    <font>
      <b/>
      <sz val="11"/>
      <color indexed="10"/>
      <name val="Calibri"/>
      <family val="2"/>
    </font>
    <font>
      <b/>
      <sz val="10"/>
      <color indexed="10"/>
      <name val="Arial"/>
      <family val="2"/>
    </font>
    <font>
      <b/>
      <sz val="12"/>
      <color indexed="56"/>
      <name val="Calibri"/>
      <family val="2"/>
    </font>
    <font>
      <sz val="11"/>
      <color indexed="8"/>
      <name val="Calibri"/>
      <family val="2"/>
    </font>
    <font>
      <b/>
      <sz val="11"/>
      <color indexed="10"/>
      <name val="Calibri"/>
      <family val="2"/>
    </font>
    <font>
      <b/>
      <sz val="12"/>
      <color indexed="9"/>
      <name val="Arial"/>
      <family val="2"/>
    </font>
    <font>
      <b/>
      <sz val="10"/>
      <color indexed="18"/>
      <name val="Verdana"/>
      <family val="2"/>
    </font>
    <font>
      <sz val="8"/>
      <color indexed="81"/>
      <name val="Tahoma"/>
      <family val="2"/>
    </font>
    <font>
      <b/>
      <sz val="8"/>
      <color indexed="81"/>
      <name val="Tahoma"/>
      <family val="2"/>
    </font>
    <font>
      <sz val="10"/>
      <name val="Verdana"/>
      <family val="2"/>
    </font>
    <font>
      <sz val="13.5"/>
      <name val="Arial"/>
      <family val="2"/>
    </font>
    <font>
      <b/>
      <sz val="10"/>
      <color indexed="16"/>
      <name val="Arial"/>
      <family val="2"/>
    </font>
    <font>
      <b/>
      <sz val="10"/>
      <color indexed="10"/>
      <name val="Calibri"/>
      <family val="2"/>
    </font>
    <font>
      <sz val="12"/>
      <color indexed="8"/>
      <name val="Verdana"/>
      <family val="2"/>
    </font>
    <font>
      <b/>
      <sz val="16"/>
      <color indexed="62"/>
      <name val="Arial"/>
      <family val="2"/>
    </font>
    <font>
      <b/>
      <sz val="16"/>
      <color indexed="10"/>
      <name val="Arial"/>
      <family val="2"/>
    </font>
    <font>
      <sz val="11"/>
      <name val="Calibri"/>
      <family val="2"/>
    </font>
    <font>
      <b/>
      <sz val="9"/>
      <color indexed="12"/>
      <name val="Verdana"/>
      <family val="2"/>
    </font>
    <font>
      <sz val="11"/>
      <color theme="1"/>
      <name val="Calibri"/>
      <family val="2"/>
      <scheme val="minor"/>
    </font>
    <font>
      <sz val="11"/>
      <color theme="0"/>
      <name val="Calibri"/>
      <family val="2"/>
      <scheme val="minor"/>
    </font>
    <font>
      <b/>
      <sz val="11"/>
      <color rgb="FF002060"/>
      <name val="Calibri"/>
      <family val="2"/>
      <scheme val="minor"/>
    </font>
    <font>
      <b/>
      <i/>
      <sz val="11"/>
      <color theme="1"/>
      <name val="Calibri"/>
      <family val="2"/>
      <scheme val="minor"/>
    </font>
    <font>
      <sz val="10"/>
      <color theme="0"/>
      <name val="Arial"/>
      <family val="2"/>
    </font>
    <font>
      <sz val="10"/>
      <color rgb="FF002060"/>
      <name val="Verdana"/>
      <family val="2"/>
    </font>
    <font>
      <sz val="10"/>
      <color rgb="FF002060"/>
      <name val="Arial"/>
      <family val="2"/>
    </font>
    <font>
      <b/>
      <sz val="11"/>
      <color theme="0"/>
      <name val="Calibri"/>
      <family val="2"/>
    </font>
    <font>
      <b/>
      <sz val="10"/>
      <color theme="0" tint="-0.499984740745262"/>
      <name val="Calibri"/>
      <family val="2"/>
    </font>
    <font>
      <b/>
      <i/>
      <sz val="11"/>
      <color rgb="FF0000FF"/>
      <name val="Calibri"/>
      <family val="2"/>
      <scheme val="minor"/>
    </font>
    <font>
      <b/>
      <sz val="10"/>
      <color theme="0"/>
      <name val="Arial"/>
      <family val="2"/>
    </font>
    <font>
      <b/>
      <sz val="14"/>
      <color rgb="FFC00000"/>
      <name val="Verdana"/>
      <family val="2"/>
    </font>
    <font>
      <b/>
      <sz val="10"/>
      <color rgb="FF7030A0"/>
      <name val="Arial"/>
      <family val="2"/>
    </font>
    <font>
      <b/>
      <sz val="10"/>
      <color theme="7" tint="-0.249977111117893"/>
      <name val="Verdana"/>
      <family val="2"/>
    </font>
    <font>
      <b/>
      <sz val="11"/>
      <color rgb="FFFF0000"/>
      <name val="Calibri"/>
      <family val="2"/>
      <scheme val="minor"/>
    </font>
    <font>
      <b/>
      <sz val="11"/>
      <color rgb="FF0000FF"/>
      <name val="Calibri"/>
      <family val="2"/>
      <scheme val="minor"/>
    </font>
    <font>
      <b/>
      <sz val="18"/>
      <color rgb="FF7030A0"/>
      <name val="Verdana"/>
      <family val="2"/>
    </font>
    <font>
      <i/>
      <sz val="11"/>
      <color rgb="FF002060"/>
      <name val="Calibri"/>
      <family val="2"/>
      <scheme val="minor"/>
    </font>
    <font>
      <b/>
      <sz val="12"/>
      <color theme="7" tint="-0.249977111117893"/>
      <name val="Arial"/>
      <family val="2"/>
    </font>
    <font>
      <i/>
      <sz val="10"/>
      <color rgb="FF002060"/>
      <name val="Arial"/>
      <family val="2"/>
    </font>
    <font>
      <b/>
      <sz val="11"/>
      <color rgb="FF7030A0"/>
      <name val="Calibri"/>
      <family val="2"/>
    </font>
    <font>
      <b/>
      <sz val="16"/>
      <color rgb="FF7030A0"/>
      <name val="Arial"/>
      <family val="2"/>
    </font>
    <font>
      <sz val="10"/>
      <color theme="1"/>
      <name val="Arial"/>
      <family val="2"/>
    </font>
    <font>
      <b/>
      <sz val="12"/>
      <color rgb="FFFF0000"/>
      <name val="Calibri"/>
      <family val="2"/>
      <scheme val="minor"/>
    </font>
    <font>
      <b/>
      <sz val="10"/>
      <color theme="1"/>
      <name val="Arial"/>
      <family val="2"/>
    </font>
    <font>
      <b/>
      <sz val="12"/>
      <color theme="1"/>
      <name val="Arial"/>
      <family val="2"/>
    </font>
    <font>
      <b/>
      <sz val="12"/>
      <color theme="0"/>
      <name val="Arial"/>
      <family val="2"/>
    </font>
    <font>
      <sz val="11"/>
      <color rgb="FF7030A0"/>
      <name val="Calibri"/>
      <family val="2"/>
      <scheme val="minor"/>
    </font>
    <font>
      <b/>
      <sz val="10"/>
      <color rgb="FF7030A0"/>
      <name val="Verdana"/>
      <family val="2"/>
    </font>
    <font>
      <b/>
      <sz val="16"/>
      <color theme="0"/>
      <name val="Arial"/>
      <family val="2"/>
    </font>
    <font>
      <b/>
      <sz val="12"/>
      <color rgb="FF0000FF"/>
      <name val="Calibri"/>
      <family val="2"/>
      <scheme val="minor"/>
    </font>
    <font>
      <b/>
      <i/>
      <sz val="11"/>
      <color rgb="FF7030A0"/>
      <name val="Calibri"/>
      <family val="2"/>
      <scheme val="minor"/>
    </font>
    <font>
      <b/>
      <i/>
      <sz val="11"/>
      <color rgb="FF2911DD"/>
      <name val="Calibri"/>
      <family val="2"/>
      <scheme val="minor"/>
    </font>
    <font>
      <sz val="12"/>
      <color rgb="FF0000FF"/>
      <name val="Arial"/>
      <family val="2"/>
    </font>
    <font>
      <b/>
      <sz val="11"/>
      <color rgb="FF0000FF"/>
      <name val="Verdana"/>
      <family val="2"/>
    </font>
  </fonts>
  <fills count="18">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1"/>
        <bgColor indexed="64"/>
      </patternFill>
    </fill>
    <fill>
      <patternFill patternType="solid">
        <fgColor indexed="18"/>
        <bgColor indexed="64"/>
      </patternFill>
    </fill>
    <fill>
      <patternFill patternType="solid">
        <fgColor rgb="FFFFFF00"/>
        <bgColor indexed="64"/>
      </patternFill>
    </fill>
    <fill>
      <patternFill patternType="solid">
        <fgColor theme="1"/>
        <bgColor indexed="64"/>
      </patternFill>
    </fill>
    <fill>
      <patternFill patternType="solid">
        <fgColor theme="6" tint="0.79998168889431442"/>
        <bgColor indexed="64"/>
      </patternFill>
    </fill>
    <fill>
      <patternFill patternType="solid">
        <fgColor rgb="FFFF0000"/>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800000"/>
        <bgColor indexed="64"/>
      </patternFill>
    </fill>
    <fill>
      <patternFill patternType="solid">
        <fgColor rgb="FF7030A0"/>
        <bgColor indexed="64"/>
      </patternFill>
    </fill>
    <fill>
      <patternFill patternType="solid">
        <fgColor theme="7"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s>
  <cellStyleXfs count="253">
    <xf numFmtId="0" fontId="0" fillId="0" borderId="0"/>
    <xf numFmtId="43" fontId="2"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6" fillId="0" borderId="0"/>
    <xf numFmtId="0" fontId="57" fillId="0" borderId="0"/>
    <xf numFmtId="0" fontId="57" fillId="0" borderId="0"/>
    <xf numFmtId="0" fontId="57" fillId="0" borderId="0"/>
    <xf numFmtId="0" fontId="57" fillId="0" borderId="0"/>
    <xf numFmtId="0" fontId="5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2"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9">
    <xf numFmtId="0" fontId="0" fillId="0" borderId="0" xfId="0"/>
    <xf numFmtId="0" fontId="6" fillId="0" borderId="1" xfId="169" applyBorder="1" applyAlignment="1">
      <alignment horizontal="right" vertical="center"/>
    </xf>
    <xf numFmtId="0" fontId="15" fillId="0" borderId="2" xfId="169" applyFont="1" applyBorder="1" applyAlignment="1">
      <alignment horizontal="right" vertical="center"/>
    </xf>
    <xf numFmtId="0" fontId="6" fillId="0" borderId="3" xfId="169" applyBorder="1"/>
    <xf numFmtId="0" fontId="16" fillId="0" borderId="4" xfId="169" applyFont="1" applyBorder="1" applyAlignment="1">
      <alignment horizontal="right"/>
    </xf>
    <xf numFmtId="0" fontId="16" fillId="0" borderId="5" xfId="169" applyFont="1" applyBorder="1" applyAlignment="1">
      <alignment wrapText="1"/>
    </xf>
    <xf numFmtId="0" fontId="0" fillId="0" borderId="0" xfId="0" applyAlignment="1">
      <alignment horizontal="center"/>
    </xf>
    <xf numFmtId="0" fontId="6" fillId="0" borderId="1" xfId="171" applyBorder="1" applyAlignment="1">
      <alignment horizontal="right" vertical="center"/>
    </xf>
    <xf numFmtId="0" fontId="15" fillId="0" borderId="1" xfId="171" applyFont="1" applyBorder="1" applyAlignment="1">
      <alignment horizontal="right" vertical="center"/>
    </xf>
    <xf numFmtId="0" fontId="6" fillId="0" borderId="5" xfId="171" applyBorder="1"/>
    <xf numFmtId="0" fontId="6" fillId="0" borderId="3" xfId="173" applyBorder="1"/>
    <xf numFmtId="0" fontId="6" fillId="0" borderId="5" xfId="173" applyBorder="1"/>
    <xf numFmtId="0" fontId="15" fillId="0" borderId="6" xfId="173" applyFont="1" applyBorder="1" applyAlignment="1">
      <alignment horizontal="right" vertical="center"/>
    </xf>
    <xf numFmtId="0" fontId="15" fillId="0" borderId="7" xfId="173" applyFont="1" applyBorder="1" applyAlignment="1">
      <alignment horizontal="right" vertical="center"/>
    </xf>
    <xf numFmtId="0" fontId="8" fillId="0" borderId="3" xfId="173" applyFont="1" applyBorder="1" applyAlignment="1">
      <alignment horizontal="left"/>
    </xf>
    <xf numFmtId="0" fontId="8" fillId="0" borderId="8" xfId="173" applyFont="1" applyBorder="1" applyAlignment="1">
      <alignment horizontal="left"/>
    </xf>
    <xf numFmtId="0" fontId="8" fillId="0" borderId="8" xfId="173" applyFont="1" applyBorder="1" applyAlignment="1">
      <alignment horizontal="left" wrapText="1"/>
    </xf>
    <xf numFmtId="0" fontId="15" fillId="0" borderId="0" xfId="173" applyFont="1" applyAlignment="1">
      <alignment horizontal="center"/>
    </xf>
    <xf numFmtId="0" fontId="16" fillId="0" borderId="6" xfId="81" applyFont="1" applyBorder="1" applyAlignment="1">
      <alignment horizontal="right"/>
    </xf>
    <xf numFmtId="0" fontId="16" fillId="0" borderId="5" xfId="81" applyFont="1" applyBorder="1" applyAlignment="1">
      <alignment horizontal="right"/>
    </xf>
    <xf numFmtId="0" fontId="6" fillId="0" borderId="0" xfId="83"/>
    <xf numFmtId="0" fontId="13" fillId="0" borderId="0" xfId="83" applyFont="1"/>
    <xf numFmtId="166" fontId="29" fillId="0" borderId="0" xfId="83" applyNumberFormat="1" applyFont="1" applyAlignment="1">
      <alignment horizontal="center" wrapText="1"/>
    </xf>
    <xf numFmtId="0" fontId="6" fillId="0" borderId="0" xfId="83" applyAlignment="1">
      <alignment horizontal="right"/>
    </xf>
    <xf numFmtId="0" fontId="8" fillId="0" borderId="0" xfId="83" applyFont="1" applyAlignment="1">
      <alignment wrapText="1"/>
    </xf>
    <xf numFmtId="166" fontId="29" fillId="2" borderId="0" xfId="83" applyNumberFormat="1" applyFont="1" applyFill="1" applyAlignment="1">
      <alignment horizontal="center" wrapText="1"/>
    </xf>
    <xf numFmtId="0" fontId="15" fillId="0" borderId="0" xfId="83" applyFont="1"/>
    <xf numFmtId="0" fontId="0" fillId="3" borderId="0" xfId="0" applyFill="1"/>
    <xf numFmtId="0" fontId="22" fillId="0" borderId="0" xfId="89" applyFont="1"/>
    <xf numFmtId="0" fontId="8" fillId="2" borderId="0" xfId="95" applyFont="1" applyFill="1" applyAlignment="1">
      <alignment wrapText="1"/>
    </xf>
    <xf numFmtId="0" fontId="6" fillId="2" borderId="0" xfId="95" applyFill="1"/>
    <xf numFmtId="0" fontId="6" fillId="0" borderId="0" xfId="137"/>
    <xf numFmtId="0" fontId="6" fillId="0" borderId="0" xfId="137" applyAlignment="1">
      <alignment vertical="center" wrapText="1"/>
    </xf>
    <xf numFmtId="164" fontId="8" fillId="4" borderId="0" xfId="137" applyNumberFormat="1" applyFont="1" applyFill="1" applyAlignment="1">
      <alignment horizontal="center" vertical="center" wrapText="1"/>
    </xf>
    <xf numFmtId="0" fontId="11" fillId="0" borderId="0" xfId="139" applyFont="1" applyAlignment="1">
      <alignment horizontal="center" vertical="center" wrapText="1"/>
    </xf>
    <xf numFmtId="0" fontId="23" fillId="0" borderId="0" xfId="139" applyFont="1" applyAlignment="1">
      <alignment horizontal="center" wrapText="1"/>
    </xf>
    <xf numFmtId="0" fontId="6" fillId="0" borderId="0" xfId="149"/>
    <xf numFmtId="0" fontId="22" fillId="0" borderId="0" xfId="155" applyFont="1"/>
    <xf numFmtId="0" fontId="22" fillId="0" borderId="0" xfId="157" applyFont="1"/>
    <xf numFmtId="0" fontId="21" fillId="0" borderId="0" xfId="159" applyFont="1" applyAlignment="1">
      <alignment horizontal="center"/>
    </xf>
    <xf numFmtId="0" fontId="12" fillId="0" borderId="0" xfId="161" applyFont="1"/>
    <xf numFmtId="0" fontId="22" fillId="0" borderId="0" xfId="161" applyFont="1"/>
    <xf numFmtId="0" fontId="22" fillId="0" borderId="0" xfId="163" applyFont="1"/>
    <xf numFmtId="0" fontId="6" fillId="0" borderId="0" xfId="165"/>
    <xf numFmtId="0" fontId="10" fillId="0" borderId="0" xfId="165" applyFont="1"/>
    <xf numFmtId="0" fontId="20" fillId="0" borderId="0" xfId="167" applyFont="1"/>
    <xf numFmtId="164" fontId="0" fillId="0" borderId="4" xfId="0" applyNumberFormat="1" applyBorder="1"/>
    <xf numFmtId="164" fontId="0" fillId="0" borderId="9" xfId="0" applyNumberFormat="1" applyBorder="1"/>
    <xf numFmtId="164" fontId="0" fillId="0" borderId="0" xfId="0" applyNumberFormat="1"/>
    <xf numFmtId="164" fontId="3" fillId="0" borderId="2" xfId="0" applyNumberFormat="1" applyFont="1" applyBorder="1"/>
    <xf numFmtId="164" fontId="3" fillId="0" borderId="0" xfId="0" applyNumberFormat="1" applyFont="1"/>
    <xf numFmtId="0" fontId="4" fillId="0" borderId="0" xfId="0" applyFont="1" applyAlignment="1">
      <alignment horizontal="center"/>
    </xf>
    <xf numFmtId="0" fontId="39" fillId="0" borderId="0" xfId="0" applyFont="1"/>
    <xf numFmtId="0" fontId="6" fillId="0" borderId="0" xfId="145" applyAlignment="1">
      <alignment horizontal="right" vertical="top"/>
    </xf>
    <xf numFmtId="0" fontId="40" fillId="0" borderId="0" xfId="139" applyFont="1" applyAlignment="1">
      <alignment horizontal="center" wrapText="1"/>
    </xf>
    <xf numFmtId="0" fontId="40" fillId="0" borderId="0" xfId="139" applyFont="1" applyAlignment="1">
      <alignment horizontal="left"/>
    </xf>
    <xf numFmtId="0" fontId="39" fillId="0" borderId="0" xfId="0" applyFont="1" applyAlignment="1">
      <alignment horizontal="center"/>
    </xf>
    <xf numFmtId="0" fontId="5" fillId="0" borderId="0" xfId="0" applyFont="1"/>
    <xf numFmtId="0" fontId="30" fillId="0" borderId="0" xfId="81" applyFont="1" applyAlignment="1">
      <alignment vertical="center" wrapText="1"/>
    </xf>
    <xf numFmtId="0" fontId="45" fillId="0" borderId="10" xfId="81" applyFont="1" applyBorder="1" applyAlignment="1">
      <alignment wrapText="1"/>
    </xf>
    <xf numFmtId="0" fontId="24" fillId="0" borderId="10" xfId="81" applyFont="1" applyBorder="1"/>
    <xf numFmtId="0" fontId="24" fillId="2" borderId="0" xfId="95" applyFont="1" applyFill="1" applyAlignment="1">
      <alignment horizontal="center" wrapText="1"/>
    </xf>
    <xf numFmtId="0" fontId="34" fillId="0" borderId="0" xfId="93" applyFont="1" applyAlignment="1">
      <alignment vertical="center" wrapText="1"/>
    </xf>
    <xf numFmtId="164" fontId="36" fillId="5" borderId="1" xfId="95" applyNumberFormat="1" applyFont="1" applyFill="1" applyBorder="1" applyAlignment="1" applyProtection="1">
      <alignment horizontal="center" wrapText="1"/>
      <protection locked="0"/>
    </xf>
    <xf numFmtId="0" fontId="26" fillId="0" borderId="0" xfId="93" applyFont="1" applyAlignment="1">
      <alignment vertical="center" wrapText="1"/>
    </xf>
    <xf numFmtId="164" fontId="37" fillId="5" borderId="1" xfId="137" applyNumberFormat="1" applyFont="1" applyFill="1" applyBorder="1" applyAlignment="1" applyProtection="1">
      <alignment horizontal="center" wrapText="1"/>
      <protection locked="0"/>
    </xf>
    <xf numFmtId="164" fontId="9" fillId="4" borderId="1" xfId="141" applyNumberFormat="1" applyFont="1" applyFill="1" applyBorder="1" applyAlignment="1">
      <alignment wrapText="1"/>
    </xf>
    <xf numFmtId="0" fontId="9" fillId="0" borderId="1" xfId="141" applyFont="1" applyBorder="1" applyAlignment="1">
      <alignment horizontal="center" wrapText="1"/>
    </xf>
    <xf numFmtId="0" fontId="43" fillId="0" borderId="0" xfId="0" applyFont="1" applyAlignment="1">
      <alignment horizontal="center"/>
    </xf>
    <xf numFmtId="0" fontId="14" fillId="0" borderId="0" xfId="81" applyFont="1" applyAlignment="1">
      <alignment horizontal="left" wrapText="1"/>
    </xf>
    <xf numFmtId="166" fontId="8" fillId="5" borderId="0" xfId="81" applyNumberFormat="1" applyFont="1" applyFill="1" applyAlignment="1" applyProtection="1">
      <alignment horizontal="center" wrapText="1"/>
      <protection locked="0"/>
    </xf>
    <xf numFmtId="0" fontId="16" fillId="0" borderId="0" xfId="81" applyFont="1" applyAlignment="1">
      <alignment horizontal="right"/>
    </xf>
    <xf numFmtId="0" fontId="39" fillId="7" borderId="0" xfId="0" applyFont="1" applyFill="1"/>
    <xf numFmtId="0" fontId="59" fillId="0" borderId="0" xfId="0" applyFont="1" applyAlignment="1">
      <alignment horizontal="center"/>
    </xf>
    <xf numFmtId="0" fontId="60" fillId="0" borderId="0" xfId="0" applyFont="1"/>
    <xf numFmtId="0" fontId="0" fillId="0" borderId="0" xfId="0" applyAlignment="1">
      <alignment horizontal="right"/>
    </xf>
    <xf numFmtId="0" fontId="24" fillId="0" borderId="11" xfId="141" applyFont="1" applyBorder="1" applyAlignment="1">
      <alignment horizontal="right"/>
    </xf>
    <xf numFmtId="0" fontId="24" fillId="0" borderId="10" xfId="141" applyFont="1" applyBorder="1" applyAlignment="1">
      <alignment horizontal="right"/>
    </xf>
    <xf numFmtId="0" fontId="61" fillId="0" borderId="0" xfId="83" applyFont="1"/>
    <xf numFmtId="0" fontId="24" fillId="8" borderId="11" xfId="141" applyFont="1" applyFill="1" applyBorder="1" applyAlignment="1">
      <alignment horizontal="right"/>
    </xf>
    <xf numFmtId="0" fontId="24" fillId="8" borderId="10" xfId="141" applyFont="1" applyFill="1" applyBorder="1" applyAlignment="1">
      <alignment horizontal="right"/>
    </xf>
    <xf numFmtId="164" fontId="9" fillId="8" borderId="1" xfId="141" applyNumberFormat="1" applyFont="1" applyFill="1" applyBorder="1" applyAlignment="1">
      <alignment wrapText="1"/>
    </xf>
    <xf numFmtId="0" fontId="10" fillId="0" borderId="11" xfId="141" applyFont="1" applyBorder="1" applyAlignment="1">
      <alignment horizontal="right"/>
    </xf>
    <xf numFmtId="0" fontId="10" fillId="0" borderId="10" xfId="141" applyFont="1" applyBorder="1" applyAlignment="1">
      <alignment horizontal="right"/>
    </xf>
    <xf numFmtId="0" fontId="10" fillId="0" borderId="1" xfId="141" applyFont="1" applyBorder="1" applyAlignment="1">
      <alignment horizontal="right"/>
    </xf>
    <xf numFmtId="164" fontId="8" fillId="4" borderId="2" xfId="141" applyNumberFormat="1" applyFont="1" applyFill="1" applyBorder="1" applyAlignment="1">
      <alignment wrapText="1"/>
    </xf>
    <xf numFmtId="164" fontId="8" fillId="4" borderId="1" xfId="141" applyNumberFormat="1" applyFont="1" applyFill="1" applyBorder="1" applyAlignment="1">
      <alignment wrapText="1"/>
    </xf>
    <xf numFmtId="164" fontId="8" fillId="8" borderId="1" xfId="141" applyNumberFormat="1" applyFont="1" applyFill="1" applyBorder="1" applyAlignment="1">
      <alignment wrapText="1"/>
    </xf>
    <xf numFmtId="166" fontId="62" fillId="5" borderId="1" xfId="81" applyNumberFormat="1" applyFont="1" applyFill="1" applyBorder="1" applyAlignment="1">
      <alignment horizontal="center" wrapText="1"/>
    </xf>
    <xf numFmtId="0" fontId="62" fillId="5" borderId="1" xfId="81" applyFont="1" applyFill="1" applyBorder="1" applyAlignment="1">
      <alignment horizontal="center" wrapText="1"/>
    </xf>
    <xf numFmtId="164" fontId="62" fillId="5" borderId="1" xfId="95" applyNumberFormat="1" applyFont="1" applyFill="1" applyBorder="1" applyAlignment="1">
      <alignment horizontal="center" wrapText="1"/>
    </xf>
    <xf numFmtId="10" fontId="62" fillId="5" borderId="1" xfId="175" applyNumberFormat="1" applyFont="1" applyFill="1" applyBorder="1" applyAlignment="1" applyProtection="1">
      <alignment horizontal="center" wrapText="1"/>
    </xf>
    <xf numFmtId="0" fontId="63" fillId="5" borderId="1" xfId="83" applyFont="1" applyFill="1" applyBorder="1" applyAlignment="1">
      <alignment horizontal="center"/>
    </xf>
    <xf numFmtId="9" fontId="62" fillId="5" borderId="1" xfId="175" applyFont="1" applyFill="1" applyBorder="1" applyAlignment="1" applyProtection="1">
      <alignment horizontal="center" wrapText="1"/>
    </xf>
    <xf numFmtId="168" fontId="62" fillId="5" borderId="1" xfId="79" applyNumberFormat="1" applyFont="1" applyFill="1" applyBorder="1" applyAlignment="1" applyProtection="1">
      <alignment horizontal="center" wrapText="1"/>
    </xf>
    <xf numFmtId="164" fontId="8" fillId="8" borderId="1" xfId="145" applyNumberFormat="1" applyFont="1" applyFill="1" applyBorder="1" applyAlignment="1">
      <alignment wrapText="1"/>
    </xf>
    <xf numFmtId="0" fontId="64" fillId="0" borderId="0" xfId="0" applyFont="1" applyAlignment="1">
      <alignment horizontal="center"/>
    </xf>
    <xf numFmtId="0" fontId="31" fillId="0" borderId="0" xfId="143" applyFont="1" applyAlignment="1">
      <alignment horizontal="center" vertical="center" wrapText="1"/>
    </xf>
    <xf numFmtId="0" fontId="14" fillId="0" borderId="0" xfId="81" applyFont="1" applyAlignment="1">
      <alignment wrapText="1"/>
    </xf>
    <xf numFmtId="0" fontId="65" fillId="0" borderId="0" xfId="0" applyFont="1" applyAlignment="1">
      <alignment horizontal="center"/>
    </xf>
    <xf numFmtId="0" fontId="51" fillId="0" borderId="0" xfId="0" applyFont="1" applyAlignment="1">
      <alignment horizontal="center"/>
    </xf>
    <xf numFmtId="0" fontId="51" fillId="0" borderId="0" xfId="0" applyFont="1" applyAlignment="1">
      <alignment horizontal="center" vertical="center" wrapText="1"/>
    </xf>
    <xf numFmtId="0" fontId="22" fillId="0" borderId="0" xfId="161" applyFont="1" applyAlignment="1">
      <alignment wrapText="1"/>
    </xf>
    <xf numFmtId="0" fontId="51" fillId="0" borderId="0" xfId="0" applyFont="1" applyAlignment="1">
      <alignment horizontal="center" wrapText="1"/>
    </xf>
    <xf numFmtId="0" fontId="6" fillId="0" borderId="0" xfId="146" applyAlignment="1">
      <alignment horizontal="right"/>
    </xf>
    <xf numFmtId="0" fontId="6" fillId="0" borderId="0" xfId="146" applyAlignment="1">
      <alignment horizontal="right" vertical="top"/>
    </xf>
    <xf numFmtId="0" fontId="66" fillId="0" borderId="0" xfId="0" applyFont="1"/>
    <xf numFmtId="0" fontId="12" fillId="0" borderId="0" xfId="163" applyFont="1"/>
    <xf numFmtId="0" fontId="58" fillId="0" borderId="0" xfId="0" applyFont="1"/>
    <xf numFmtId="0" fontId="67" fillId="2" borderId="0" xfId="95" applyFont="1" applyFill="1" applyAlignment="1">
      <alignment horizontal="center" wrapText="1"/>
    </xf>
    <xf numFmtId="0" fontId="57" fillId="0" borderId="0" xfId="98"/>
    <xf numFmtId="0" fontId="6" fillId="0" borderId="2" xfId="170" applyBorder="1" applyAlignment="1">
      <alignment horizontal="right" vertical="center"/>
    </xf>
    <xf numFmtId="0" fontId="57" fillId="0" borderId="0" xfId="98" applyAlignment="1">
      <alignment horizontal="center"/>
    </xf>
    <xf numFmtId="0" fontId="6" fillId="0" borderId="5" xfId="172" applyBorder="1"/>
    <xf numFmtId="0" fontId="6" fillId="0" borderId="1" xfId="172" applyBorder="1" applyAlignment="1">
      <alignment horizontal="right" vertical="center"/>
    </xf>
    <xf numFmtId="0" fontId="57" fillId="0" borderId="0" xfId="98" applyAlignment="1">
      <alignment horizontal="right"/>
    </xf>
    <xf numFmtId="0" fontId="68" fillId="0" borderId="0" xfId="97" applyFont="1" applyAlignment="1">
      <alignment wrapText="1"/>
    </xf>
    <xf numFmtId="0" fontId="24" fillId="0" borderId="0" xfId="151" applyFont="1" applyAlignment="1">
      <alignment vertical="center"/>
    </xf>
    <xf numFmtId="0" fontId="6" fillId="9" borderId="1" xfId="81" applyFill="1" applyBorder="1" applyAlignment="1" applyProtection="1">
      <alignment horizontal="center"/>
      <protection locked="0"/>
    </xf>
    <xf numFmtId="44" fontId="48" fillId="9" borderId="1" xfId="79" applyFont="1" applyFill="1" applyBorder="1" applyAlignment="1" applyProtection="1">
      <alignment horizontal="center" wrapText="1"/>
      <protection locked="0"/>
    </xf>
    <xf numFmtId="0" fontId="8" fillId="9" borderId="2" xfId="170" applyFont="1" applyFill="1" applyBorder="1" applyAlignment="1" applyProtection="1">
      <alignment horizontal="center" wrapText="1"/>
      <protection locked="0"/>
    </xf>
    <xf numFmtId="49" fontId="52" fillId="9" borderId="5" xfId="170" applyNumberFormat="1" applyFont="1" applyFill="1" applyBorder="1" applyAlignment="1" applyProtection="1">
      <alignment horizontal="center" vertical="center" wrapText="1"/>
      <protection locked="0"/>
    </xf>
    <xf numFmtId="49" fontId="52" fillId="9" borderId="12" xfId="170" applyNumberFormat="1" applyFont="1" applyFill="1" applyBorder="1" applyAlignment="1" applyProtection="1">
      <alignment horizontal="center" vertical="center" wrapText="1"/>
      <protection locked="0"/>
    </xf>
    <xf numFmtId="49" fontId="52" fillId="9" borderId="6" xfId="170" applyNumberFormat="1" applyFont="1" applyFill="1" applyBorder="1" applyAlignment="1" applyProtection="1">
      <alignment horizontal="center" vertical="center" wrapText="1"/>
      <protection locked="0"/>
    </xf>
    <xf numFmtId="0" fontId="8" fillId="9" borderId="1" xfId="170" applyFont="1" applyFill="1" applyBorder="1" applyAlignment="1" applyProtection="1">
      <alignment horizontal="center" wrapText="1"/>
      <protection locked="0"/>
    </xf>
    <xf numFmtId="49" fontId="8" fillId="9" borderId="2" xfId="170" applyNumberFormat="1" applyFont="1" applyFill="1" applyBorder="1" applyAlignment="1" applyProtection="1">
      <alignment horizontal="center" wrapText="1"/>
      <protection locked="0"/>
    </xf>
    <xf numFmtId="49" fontId="8" fillId="9" borderId="1" xfId="170" applyNumberFormat="1" applyFont="1" applyFill="1" applyBorder="1" applyAlignment="1" applyProtection="1">
      <alignment horizontal="center" wrapText="1"/>
      <protection locked="0"/>
    </xf>
    <xf numFmtId="0" fontId="69" fillId="2" borderId="10" xfId="95" applyFont="1" applyFill="1" applyBorder="1" applyAlignment="1">
      <alignment horizontal="center" wrapText="1"/>
    </xf>
    <xf numFmtId="0" fontId="69" fillId="2" borderId="0" xfId="95" applyFont="1" applyFill="1" applyAlignment="1">
      <alignment horizontal="center" wrapText="1"/>
    </xf>
    <xf numFmtId="0" fontId="69" fillId="2" borderId="1" xfId="95" applyFont="1" applyFill="1" applyBorder="1" applyAlignment="1">
      <alignment horizontal="center" vertical="center" wrapText="1"/>
    </xf>
    <xf numFmtId="0" fontId="70" fillId="0" borderId="10" xfId="81" applyFont="1" applyBorder="1" applyAlignment="1">
      <alignment horizontal="center" wrapText="1"/>
    </xf>
    <xf numFmtId="0" fontId="0" fillId="10" borderId="0" xfId="0" applyFill="1"/>
    <xf numFmtId="0" fontId="0" fillId="11" borderId="0" xfId="0" applyFill="1"/>
    <xf numFmtId="0" fontId="0" fillId="0" borderId="13" xfId="0" applyBorder="1" applyAlignment="1">
      <alignment wrapText="1"/>
    </xf>
    <xf numFmtId="0" fontId="0" fillId="10" borderId="0" xfId="0" applyFill="1" applyAlignment="1">
      <alignment horizontal="center"/>
    </xf>
    <xf numFmtId="0" fontId="0" fillId="0" borderId="0" xfId="0" applyAlignment="1">
      <alignment vertical="center"/>
    </xf>
    <xf numFmtId="0" fontId="71" fillId="0" borderId="0" xfId="0" applyFont="1" applyAlignment="1">
      <alignment horizontal="left" vertical="center"/>
    </xf>
    <xf numFmtId="0" fontId="71" fillId="0" borderId="0" xfId="0" applyFont="1" applyAlignment="1">
      <alignment vertical="center"/>
    </xf>
    <xf numFmtId="0" fontId="6" fillId="0" borderId="0" xfId="146" applyAlignment="1">
      <alignment horizontal="right" vertical="center"/>
    </xf>
    <xf numFmtId="0" fontId="72" fillId="0" borderId="0" xfId="0" applyFont="1" applyAlignment="1">
      <alignment horizontal="left" vertical="center"/>
    </xf>
    <xf numFmtId="0" fontId="72" fillId="0" borderId="0" xfId="0" applyFont="1" applyAlignment="1">
      <alignment vertical="center"/>
    </xf>
    <xf numFmtId="164" fontId="9" fillId="0" borderId="0" xfId="146" applyNumberFormat="1" applyFont="1" applyAlignment="1">
      <alignment vertical="center" wrapText="1"/>
    </xf>
    <xf numFmtId="0" fontId="39" fillId="12" borderId="0" xfId="0" applyFont="1" applyFill="1" applyAlignment="1">
      <alignment horizontal="center"/>
    </xf>
    <xf numFmtId="0" fontId="39" fillId="12" borderId="0" xfId="0" applyFont="1" applyFill="1" applyAlignment="1">
      <alignment horizontal="center" vertical="center"/>
    </xf>
    <xf numFmtId="0" fontId="0" fillId="12" borderId="0" xfId="0" applyFill="1" applyAlignment="1">
      <alignment horizontal="center"/>
    </xf>
    <xf numFmtId="0" fontId="55" fillId="0" borderId="1" xfId="0" applyFont="1" applyBorder="1" applyAlignment="1">
      <alignment horizontal="center"/>
    </xf>
    <xf numFmtId="0" fontId="6" fillId="0" borderId="0" xfId="173" applyAlignment="1">
      <alignment horizontal="right"/>
    </xf>
    <xf numFmtId="0" fontId="39" fillId="0" borderId="0" xfId="98" applyFont="1"/>
    <xf numFmtId="0" fontId="84" fillId="0" borderId="0" xfId="0" applyFont="1"/>
    <xf numFmtId="166" fontId="84" fillId="0" borderId="0" xfId="0" applyNumberFormat="1" applyFont="1"/>
    <xf numFmtId="0" fontId="8" fillId="0" borderId="0" xfId="173" applyFont="1" applyAlignment="1">
      <alignment horizontal="left"/>
    </xf>
    <xf numFmtId="0" fontId="8" fillId="0" borderId="0" xfId="173" applyFont="1" applyAlignment="1">
      <alignment horizontal="left" wrapText="1"/>
    </xf>
    <xf numFmtId="0" fontId="8" fillId="0" borderId="14" xfId="173" applyFont="1" applyBorder="1" applyAlignment="1">
      <alignment horizontal="left"/>
    </xf>
    <xf numFmtId="0" fontId="85" fillId="2" borderId="0" xfId="81" applyFont="1" applyFill="1" applyAlignment="1">
      <alignment horizontal="right" wrapText="1"/>
    </xf>
    <xf numFmtId="0" fontId="8" fillId="17" borderId="1" xfId="169" applyFont="1" applyFill="1" applyBorder="1" applyAlignment="1" applyProtection="1">
      <alignment horizontal="center" wrapText="1"/>
      <protection locked="0"/>
    </xf>
    <xf numFmtId="49" fontId="8" fillId="17" borderId="1" xfId="169" applyNumberFormat="1" applyFont="1" applyFill="1" applyBorder="1" applyAlignment="1" applyProtection="1">
      <alignment horizontal="center" wrapText="1"/>
      <protection locked="0"/>
    </xf>
    <xf numFmtId="1" fontId="8" fillId="17" borderId="1" xfId="169" applyNumberFormat="1" applyFont="1" applyFill="1" applyBorder="1" applyAlignment="1" applyProtection="1">
      <alignment horizontal="center" wrapText="1"/>
      <protection locked="0"/>
    </xf>
    <xf numFmtId="49" fontId="6" fillId="17" borderId="1" xfId="173" applyNumberFormat="1" applyFill="1" applyBorder="1" applyAlignment="1" applyProtection="1">
      <alignment horizontal="center"/>
      <protection locked="0"/>
    </xf>
    <xf numFmtId="0" fontId="8" fillId="17" borderId="6" xfId="81" applyFont="1" applyFill="1" applyBorder="1" applyAlignment="1" applyProtection="1">
      <alignment horizontal="center" wrapText="1"/>
      <protection locked="0"/>
    </xf>
    <xf numFmtId="0" fontId="8" fillId="17" borderId="1" xfId="81" applyFont="1" applyFill="1" applyBorder="1" applyAlignment="1" applyProtection="1">
      <alignment horizontal="center" wrapText="1"/>
      <protection locked="0"/>
    </xf>
    <xf numFmtId="0" fontId="8" fillId="17" borderId="15" xfId="81" applyFont="1" applyFill="1" applyBorder="1" applyAlignment="1" applyProtection="1">
      <alignment horizontal="center" wrapText="1"/>
      <protection locked="0"/>
    </xf>
    <xf numFmtId="166" fontId="8" fillId="17" borderId="15" xfId="81" applyNumberFormat="1" applyFont="1" applyFill="1" applyBorder="1" applyAlignment="1" applyProtection="1">
      <alignment horizontal="center" wrapText="1"/>
      <protection locked="0"/>
    </xf>
    <xf numFmtId="166" fontId="8" fillId="17" borderId="1" xfId="81" applyNumberFormat="1" applyFont="1" applyFill="1" applyBorder="1" applyAlignment="1" applyProtection="1">
      <alignment horizontal="center" wrapText="1"/>
      <protection locked="0"/>
    </xf>
    <xf numFmtId="14" fontId="8" fillId="17" borderId="1" xfId="83" applyNumberFormat="1" applyFont="1" applyFill="1" applyBorder="1" applyAlignment="1" applyProtection="1">
      <alignment horizontal="center" wrapText="1"/>
      <protection locked="0"/>
    </xf>
    <xf numFmtId="0" fontId="6" fillId="17" borderId="1" xfId="83" applyFill="1" applyBorder="1" applyAlignment="1" applyProtection="1">
      <alignment horizontal="center"/>
      <protection locked="0"/>
    </xf>
    <xf numFmtId="0" fontId="6" fillId="17" borderId="1" xfId="81" applyFill="1" applyBorder="1" applyAlignment="1" applyProtection="1">
      <alignment horizontal="center"/>
      <protection locked="0"/>
    </xf>
    <xf numFmtId="0" fontId="8" fillId="17" borderId="4" xfId="81" applyFont="1" applyFill="1" applyBorder="1" applyAlignment="1" applyProtection="1">
      <alignment horizontal="center" vertical="center" wrapText="1"/>
      <protection locked="0"/>
    </xf>
    <xf numFmtId="164" fontId="48" fillId="17" borderId="1" xfId="95" applyNumberFormat="1" applyFont="1" applyFill="1" applyBorder="1" applyAlignment="1" applyProtection="1">
      <alignment horizontal="center" wrapText="1"/>
      <protection locked="0"/>
    </xf>
    <xf numFmtId="10" fontId="8" fillId="17" borderId="1" xfId="175" applyNumberFormat="1" applyFont="1" applyFill="1" applyBorder="1" applyAlignment="1" applyProtection="1">
      <alignment horizontal="center" wrapText="1"/>
      <protection locked="0"/>
    </xf>
    <xf numFmtId="167" fontId="8" fillId="17" borderId="1" xfId="175" applyNumberFormat="1" applyFont="1" applyFill="1" applyBorder="1" applyAlignment="1" applyProtection="1">
      <alignment horizontal="center" wrapText="1"/>
      <protection locked="0"/>
    </xf>
    <xf numFmtId="14" fontId="8" fillId="17" borderId="1" xfId="81" applyNumberFormat="1" applyFont="1" applyFill="1" applyBorder="1" applyAlignment="1" applyProtection="1">
      <alignment horizontal="center" wrapText="1"/>
      <protection locked="0"/>
    </xf>
    <xf numFmtId="168" fontId="48" fillId="17" borderId="1" xfId="79" applyNumberFormat="1" applyFont="1" applyFill="1" applyBorder="1" applyAlignment="1" applyProtection="1">
      <alignment horizontal="center" wrapText="1"/>
      <protection locked="0"/>
    </xf>
    <xf numFmtId="14" fontId="15" fillId="17" borderId="1" xfId="139" applyNumberFormat="1" applyFont="1" applyFill="1" applyBorder="1" applyAlignment="1" applyProtection="1">
      <alignment horizontal="center" vertical="center" wrapText="1"/>
      <protection locked="0"/>
    </xf>
    <xf numFmtId="0" fontId="15" fillId="17" borderId="1" xfId="139" applyFont="1" applyFill="1" applyBorder="1" applyAlignment="1" applyProtection="1">
      <alignment horizontal="center" vertical="center" wrapText="1"/>
      <protection locked="0"/>
    </xf>
    <xf numFmtId="164" fontId="8" fillId="17" borderId="1" xfId="139" applyNumberFormat="1" applyFont="1" applyFill="1" applyBorder="1" applyAlignment="1" applyProtection="1">
      <alignment wrapText="1"/>
      <protection locked="0"/>
    </xf>
    <xf numFmtId="164" fontId="8" fillId="17" borderId="2" xfId="141" applyNumberFormat="1" applyFont="1" applyFill="1" applyBorder="1" applyProtection="1">
      <protection locked="0"/>
    </xf>
    <xf numFmtId="164" fontId="8" fillId="17" borderId="1" xfId="141" applyNumberFormat="1" applyFont="1" applyFill="1" applyBorder="1" applyProtection="1">
      <protection locked="0"/>
    </xf>
    <xf numFmtId="164" fontId="8" fillId="17" borderId="1" xfId="145" applyNumberFormat="1" applyFont="1" applyFill="1" applyBorder="1" applyProtection="1">
      <protection locked="0"/>
    </xf>
    <xf numFmtId="164" fontId="8" fillId="17" borderId="1" xfId="145" applyNumberFormat="1" applyFont="1" applyFill="1" applyBorder="1" applyAlignment="1">
      <alignment wrapText="1"/>
    </xf>
    <xf numFmtId="0" fontId="0" fillId="17" borderId="1" xfId="0" applyFill="1" applyBorder="1" applyAlignment="1" applyProtection="1">
      <alignment horizontal="center"/>
      <protection locked="0"/>
    </xf>
    <xf numFmtId="14" fontId="0" fillId="17" borderId="1" xfId="0" applyNumberFormat="1" applyFill="1" applyBorder="1" applyAlignment="1" applyProtection="1">
      <alignment horizontal="center" vertical="center"/>
      <protection locked="0"/>
    </xf>
    <xf numFmtId="165" fontId="42" fillId="17" borderId="1" xfId="1" applyNumberFormat="1" applyFont="1" applyFill="1" applyBorder="1" applyAlignment="1" applyProtection="1">
      <alignment horizontal="left"/>
      <protection locked="0"/>
    </xf>
    <xf numFmtId="0" fontId="0" fillId="17" borderId="1" xfId="0" applyFill="1" applyBorder="1" applyAlignment="1" applyProtection="1">
      <alignment horizontal="center" vertical="center"/>
      <protection locked="0"/>
    </xf>
    <xf numFmtId="0" fontId="62" fillId="5" borderId="4" xfId="81" applyFont="1" applyFill="1" applyBorder="1" applyAlignment="1">
      <alignment horizontal="center" vertical="center" wrapText="1"/>
    </xf>
    <xf numFmtId="0" fontId="31" fillId="7" borderId="0" xfId="143" applyFont="1" applyFill="1" applyAlignment="1">
      <alignment horizontal="center" vertical="center" wrapText="1"/>
    </xf>
    <xf numFmtId="0" fontId="0" fillId="7" borderId="0" xfId="0" applyFill="1" applyAlignment="1">
      <alignment horizontal="right"/>
    </xf>
    <xf numFmtId="0" fontId="6" fillId="7" borderId="1" xfId="81" applyFill="1" applyBorder="1" applyAlignment="1" applyProtection="1">
      <alignment horizontal="center"/>
      <protection locked="0"/>
    </xf>
    <xf numFmtId="0" fontId="0" fillId="7" borderId="0" xfId="0" applyFill="1"/>
    <xf numFmtId="164" fontId="8" fillId="7" borderId="1" xfId="141" applyNumberFormat="1" applyFont="1" applyFill="1" applyBorder="1" applyProtection="1">
      <protection locked="0"/>
    </xf>
    <xf numFmtId="0" fontId="89" fillId="7" borderId="0" xfId="0" applyFont="1" applyFill="1"/>
    <xf numFmtId="0" fontId="15" fillId="7" borderId="0" xfId="147" applyFont="1" applyFill="1" applyAlignment="1">
      <alignment vertical="center" wrapText="1"/>
    </xf>
    <xf numFmtId="0" fontId="11" fillId="7" borderId="0" xfId="147" applyFont="1" applyFill="1" applyAlignment="1">
      <alignment horizontal="center" vertical="center" wrapText="1"/>
    </xf>
    <xf numFmtId="0" fontId="15" fillId="7" borderId="0" xfId="147" applyFont="1" applyFill="1" applyAlignment="1">
      <alignment horizontal="center" vertical="center" wrapText="1"/>
    </xf>
    <xf numFmtId="0" fontId="6" fillId="7" borderId="0" xfId="147" applyFill="1" applyAlignment="1">
      <alignment horizontal="center" vertical="center" wrapText="1"/>
    </xf>
    <xf numFmtId="0" fontId="15" fillId="7" borderId="0" xfId="147" applyFont="1" applyFill="1" applyAlignment="1">
      <alignment horizontal="left" vertical="center" wrapText="1"/>
    </xf>
    <xf numFmtId="0" fontId="6" fillId="7" borderId="0" xfId="149" applyFill="1"/>
    <xf numFmtId="0" fontId="90" fillId="0" borderId="0" xfId="83" applyFont="1" applyAlignment="1">
      <alignment horizontal="right"/>
    </xf>
    <xf numFmtId="0" fontId="91" fillId="17" borderId="1" xfId="83" applyFont="1" applyFill="1" applyBorder="1" applyAlignment="1" applyProtection="1">
      <alignment horizontal="center" vertical="center" wrapText="1"/>
      <protection locked="0"/>
    </xf>
    <xf numFmtId="0" fontId="90" fillId="0" borderId="0" xfId="83" applyFont="1"/>
    <xf numFmtId="0" fontId="51" fillId="0" borderId="0" xfId="0" applyFont="1" applyAlignment="1">
      <alignment horizontal="left" vertical="center" wrapText="1"/>
    </xf>
    <xf numFmtId="0" fontId="87" fillId="0" borderId="22" xfId="0" applyFont="1" applyBorder="1" applyAlignment="1">
      <alignment horizontal="center" vertical="center"/>
    </xf>
    <xf numFmtId="0" fontId="87" fillId="0" borderId="23" xfId="0" applyFont="1" applyBorder="1" applyAlignment="1">
      <alignment horizontal="center" vertical="center"/>
    </xf>
    <xf numFmtId="0" fontId="87" fillId="0" borderId="24" xfId="0" applyFont="1" applyBorder="1" applyAlignment="1">
      <alignment horizontal="center" vertical="center"/>
    </xf>
    <xf numFmtId="166" fontId="8" fillId="17" borderId="1" xfId="81" applyNumberFormat="1" applyFont="1" applyFill="1" applyBorder="1" applyAlignment="1" applyProtection="1">
      <alignment horizontal="center" vertical="center" wrapText="1"/>
      <protection locked="0"/>
    </xf>
    <xf numFmtId="0" fontId="8" fillId="17" borderId="1" xfId="81" applyFont="1" applyFill="1" applyBorder="1" applyAlignment="1" applyProtection="1">
      <alignment horizontal="center" vertical="center" wrapText="1"/>
      <protection locked="0"/>
    </xf>
    <xf numFmtId="0" fontId="9" fillId="0" borderId="5" xfId="141" applyFont="1" applyBorder="1" applyAlignment="1">
      <alignment horizontal="right" wrapText="1"/>
    </xf>
    <xf numFmtId="0" fontId="9" fillId="0" borderId="12" xfId="141" applyFont="1" applyBorder="1" applyAlignment="1">
      <alignment horizontal="right" wrapText="1"/>
    </xf>
    <xf numFmtId="0" fontId="10" fillId="0" borderId="14" xfId="173" applyFont="1" applyBorder="1" applyAlignment="1">
      <alignment horizontal="center"/>
    </xf>
    <xf numFmtId="0" fontId="10" fillId="0" borderId="0" xfId="173" applyFont="1" applyAlignment="1">
      <alignment horizontal="center"/>
    </xf>
    <xf numFmtId="0" fontId="16" fillId="0" borderId="5" xfId="81" applyFont="1" applyBorder="1" applyAlignment="1">
      <alignment horizontal="right"/>
    </xf>
    <xf numFmtId="0" fontId="16" fillId="0" borderId="6" xfId="81" applyFont="1" applyBorder="1" applyAlignment="1">
      <alignment horizontal="right"/>
    </xf>
    <xf numFmtId="0" fontId="44" fillId="6" borderId="0" xfId="93" applyFont="1" applyFill="1" applyAlignment="1">
      <alignment horizontal="center" vertical="center" wrapText="1"/>
    </xf>
    <xf numFmtId="0" fontId="14" fillId="2" borderId="0" xfId="137" applyFont="1" applyFill="1" applyAlignment="1">
      <alignment horizontal="center" wrapText="1"/>
    </xf>
    <xf numFmtId="0" fontId="18" fillId="0" borderId="0" xfId="137" applyFont="1" applyAlignment="1">
      <alignment horizontal="right" vertical="center"/>
    </xf>
    <xf numFmtId="0" fontId="43" fillId="0" borderId="0" xfId="0" applyFont="1" applyAlignment="1">
      <alignment horizontal="center"/>
    </xf>
    <xf numFmtId="14" fontId="8" fillId="17" borderId="1" xfId="81" applyNumberFormat="1" applyFont="1" applyFill="1" applyBorder="1" applyAlignment="1" applyProtection="1">
      <alignment horizontal="center" vertical="center" wrapText="1"/>
      <protection locked="0"/>
    </xf>
    <xf numFmtId="0" fontId="83" fillId="16" borderId="0" xfId="85" applyFont="1" applyFill="1" applyAlignment="1">
      <alignment horizontal="center" vertical="center" wrapText="1"/>
    </xf>
    <xf numFmtId="0" fontId="62" fillId="5" borderId="1" xfId="81" applyFont="1" applyFill="1" applyBorder="1" applyAlignment="1">
      <alignment horizontal="center" vertical="center" wrapText="1"/>
    </xf>
    <xf numFmtId="0" fontId="0" fillId="0" borderId="0" xfId="0" applyAlignment="1">
      <alignment horizontal="left" wrapText="1"/>
    </xf>
    <xf numFmtId="0" fontId="0" fillId="17" borderId="3" xfId="0" applyFill="1" applyBorder="1" applyAlignment="1" applyProtection="1">
      <alignment horizontal="left" vertical="top" wrapText="1"/>
      <protection locked="0"/>
    </xf>
    <xf numFmtId="0" fontId="0" fillId="17" borderId="8" xfId="0" applyFill="1" applyBorder="1" applyAlignment="1" applyProtection="1">
      <alignment horizontal="left" vertical="top" wrapText="1"/>
      <protection locked="0"/>
    </xf>
    <xf numFmtId="0" fontId="0" fillId="17" borderId="7" xfId="0" applyFill="1" applyBorder="1" applyAlignment="1" applyProtection="1">
      <alignment horizontal="left" vertical="top" wrapText="1"/>
      <protection locked="0"/>
    </xf>
    <xf numFmtId="0" fontId="0" fillId="17" borderId="14" xfId="0" applyFill="1" applyBorder="1" applyAlignment="1" applyProtection="1">
      <alignment horizontal="left" vertical="top" wrapText="1"/>
      <protection locked="0"/>
    </xf>
    <xf numFmtId="0" fontId="0" fillId="17" borderId="0" xfId="0" applyFill="1" applyAlignment="1" applyProtection="1">
      <alignment horizontal="left" vertical="top" wrapText="1"/>
      <protection locked="0"/>
    </xf>
    <xf numFmtId="0" fontId="0" fillId="17" borderId="13" xfId="0" applyFill="1" applyBorder="1" applyAlignment="1" applyProtection="1">
      <alignment horizontal="left" vertical="top" wrapText="1"/>
      <protection locked="0"/>
    </xf>
    <xf numFmtId="0" fontId="0" fillId="17" borderId="11" xfId="0" applyFill="1" applyBorder="1" applyAlignment="1" applyProtection="1">
      <alignment horizontal="left" vertical="top" wrapText="1"/>
      <protection locked="0"/>
    </xf>
    <xf numFmtId="0" fontId="0" fillId="17" borderId="10" xfId="0" applyFill="1" applyBorder="1" applyAlignment="1" applyProtection="1">
      <alignment horizontal="left" vertical="top" wrapText="1"/>
      <protection locked="0"/>
    </xf>
    <xf numFmtId="0" fontId="0" fillId="17" borderId="15" xfId="0" applyFill="1" applyBorder="1" applyAlignment="1" applyProtection="1">
      <alignment horizontal="left" vertical="top" wrapText="1"/>
      <protection locked="0"/>
    </xf>
    <xf numFmtId="0" fontId="79" fillId="0" borderId="0" xfId="153" applyFont="1" applyAlignment="1">
      <alignment horizontal="left" vertical="center" wrapText="1" indent="1"/>
    </xf>
    <xf numFmtId="0" fontId="88" fillId="7" borderId="0" xfId="0" applyFont="1" applyFill="1" applyAlignment="1">
      <alignment horizontal="left"/>
    </xf>
    <xf numFmtId="0" fontId="88" fillId="7" borderId="0" xfId="0" applyFont="1" applyFill="1" applyAlignment="1">
      <alignment horizontal="right"/>
    </xf>
    <xf numFmtId="0" fontId="88" fillId="7" borderId="13" xfId="0" applyFont="1" applyFill="1" applyBorder="1" applyAlignment="1">
      <alignment horizontal="right"/>
    </xf>
    <xf numFmtId="0" fontId="80" fillId="12" borderId="0" xfId="0" applyFont="1" applyFill="1" applyAlignment="1">
      <alignment horizontal="center" vertical="center" wrapText="1"/>
    </xf>
    <xf numFmtId="0" fontId="27" fillId="0" borderId="16" xfId="91" applyFont="1" applyBorder="1" applyAlignment="1">
      <alignment horizontal="center" vertical="center"/>
    </xf>
    <xf numFmtId="0" fontId="27" fillId="0" borderId="17" xfId="91" applyFont="1" applyBorder="1" applyAlignment="1">
      <alignment horizontal="center" vertical="center"/>
    </xf>
    <xf numFmtId="0" fontId="27" fillId="0" borderId="18" xfId="91" applyFont="1" applyBorder="1" applyAlignment="1">
      <alignment horizontal="center" vertical="center"/>
    </xf>
    <xf numFmtId="0" fontId="6" fillId="17" borderId="5" xfId="139" applyFill="1" applyBorder="1" applyAlignment="1" applyProtection="1">
      <alignment horizontal="center" wrapText="1"/>
      <protection locked="0"/>
    </xf>
    <xf numFmtId="0" fontId="6" fillId="17" borderId="6" xfId="139" applyFill="1" applyBorder="1" applyAlignment="1" applyProtection="1">
      <alignment horizontal="center" wrapText="1"/>
      <protection locked="0"/>
    </xf>
    <xf numFmtId="0" fontId="24" fillId="0" borderId="1" xfId="141" applyFont="1" applyBorder="1" applyAlignment="1">
      <alignment horizontal="right"/>
    </xf>
    <xf numFmtId="0" fontId="8" fillId="0" borderId="14" xfId="141" applyFont="1" applyBorder="1" applyAlignment="1">
      <alignment horizontal="center" wrapText="1"/>
    </xf>
    <xf numFmtId="0" fontId="8" fillId="0" borderId="0" xfId="141" applyFont="1" applyAlignment="1">
      <alignment horizontal="center" wrapText="1"/>
    </xf>
    <xf numFmtId="0" fontId="10" fillId="0" borderId="0" xfId="137" applyFont="1" applyAlignment="1">
      <alignment horizontal="right"/>
    </xf>
    <xf numFmtId="0" fontId="15" fillId="17" borderId="5" xfId="139" applyFont="1" applyFill="1" applyBorder="1" applyAlignment="1" applyProtection="1">
      <alignment horizontal="left" vertical="center" wrapText="1"/>
      <protection locked="0"/>
    </xf>
    <xf numFmtId="0" fontId="15" fillId="17" borderId="6" xfId="139" applyFont="1" applyFill="1" applyBorder="1" applyAlignment="1" applyProtection="1">
      <alignment horizontal="left" vertical="center" wrapText="1"/>
      <protection locked="0"/>
    </xf>
    <xf numFmtId="0" fontId="78" fillId="0" borderId="19" xfId="87" applyFont="1" applyBorder="1" applyAlignment="1">
      <alignment horizontal="center" vertical="center"/>
    </xf>
    <xf numFmtId="0" fontId="78" fillId="0" borderId="20" xfId="87" applyFont="1" applyBorder="1" applyAlignment="1">
      <alignment horizontal="center" vertical="center"/>
    </xf>
    <xf numFmtId="0" fontId="78" fillId="0" borderId="21" xfId="87" applyFont="1" applyBorder="1" applyAlignment="1">
      <alignment horizontal="center" vertical="center"/>
    </xf>
    <xf numFmtId="0" fontId="41" fillId="0" borderId="0" xfId="0" applyFont="1" applyAlignment="1">
      <alignment horizontal="center" vertical="center"/>
    </xf>
    <xf numFmtId="0" fontId="31" fillId="0" borderId="0" xfId="143" applyFont="1" applyAlignment="1">
      <alignment horizontal="center" vertical="center" wrapText="1"/>
    </xf>
    <xf numFmtId="0" fontId="9" fillId="0" borderId="3" xfId="141" applyFont="1" applyBorder="1" applyAlignment="1">
      <alignment horizontal="right" wrapText="1"/>
    </xf>
    <xf numFmtId="0" fontId="9" fillId="0" borderId="8" xfId="141" applyFont="1" applyBorder="1" applyAlignment="1">
      <alignment horizontal="right" wrapText="1"/>
    </xf>
    <xf numFmtId="0" fontId="6" fillId="17" borderId="5" xfId="171" applyFill="1" applyBorder="1" applyAlignment="1" applyProtection="1">
      <alignment horizontal="left"/>
      <protection locked="0"/>
    </xf>
    <xf numFmtId="0" fontId="6" fillId="17" borderId="12" xfId="171" applyFill="1" applyBorder="1" applyAlignment="1" applyProtection="1">
      <alignment horizontal="left"/>
      <protection locked="0"/>
    </xf>
    <xf numFmtId="0" fontId="6" fillId="17" borderId="6" xfId="171" applyFill="1" applyBorder="1" applyAlignment="1" applyProtection="1">
      <alignment horizontal="left"/>
      <protection locked="0"/>
    </xf>
    <xf numFmtId="0" fontId="8" fillId="17" borderId="12" xfId="173" applyFont="1" applyFill="1" applyBorder="1" applyAlignment="1" applyProtection="1">
      <alignment horizontal="left" wrapText="1"/>
      <protection locked="0"/>
    </xf>
    <xf numFmtId="0" fontId="8" fillId="17" borderId="5" xfId="173" applyFont="1" applyFill="1" applyBorder="1" applyAlignment="1" applyProtection="1">
      <alignment horizontal="left" wrapText="1"/>
      <protection locked="0"/>
    </xf>
    <xf numFmtId="0" fontId="8" fillId="17" borderId="6" xfId="173" applyFont="1" applyFill="1" applyBorder="1" applyAlignment="1" applyProtection="1">
      <alignment horizontal="left" wrapText="1"/>
      <protection locked="0"/>
    </xf>
    <xf numFmtId="0" fontId="32" fillId="17" borderId="5" xfId="173" applyFont="1" applyFill="1" applyBorder="1" applyAlignment="1" applyProtection="1">
      <alignment horizontal="left" wrapText="1"/>
      <protection locked="0"/>
    </xf>
    <xf numFmtId="0" fontId="32" fillId="17" borderId="12" xfId="173" applyFont="1" applyFill="1" applyBorder="1" applyAlignment="1" applyProtection="1">
      <alignment horizontal="left" wrapText="1"/>
      <protection locked="0"/>
    </xf>
    <xf numFmtId="0" fontId="32" fillId="17" borderId="6" xfId="173" applyFont="1" applyFill="1" applyBorder="1" applyAlignment="1" applyProtection="1">
      <alignment horizontal="left" wrapText="1"/>
      <protection locked="0"/>
    </xf>
    <xf numFmtId="0" fontId="49" fillId="0" borderId="5" xfId="173" applyFont="1" applyBorder="1" applyAlignment="1">
      <alignment horizontal="right" vertical="center"/>
    </xf>
    <xf numFmtId="0" fontId="49" fillId="0" borderId="6" xfId="173" applyFont="1" applyBorder="1" applyAlignment="1">
      <alignment horizontal="right" vertical="center"/>
    </xf>
    <xf numFmtId="0" fontId="10" fillId="0" borderId="10" xfId="139" applyFont="1" applyBorder="1" applyAlignment="1">
      <alignment horizontal="center" vertical="center" wrapText="1"/>
    </xf>
    <xf numFmtId="0" fontId="38" fillId="0" borderId="0" xfId="137" applyFont="1" applyAlignment="1">
      <alignment horizontal="center" wrapText="1"/>
    </xf>
    <xf numFmtId="0" fontId="16" fillId="0" borderId="1" xfId="81" applyFont="1" applyBorder="1" applyAlignment="1">
      <alignment horizontal="right" wrapText="1"/>
    </xf>
    <xf numFmtId="0" fontId="86" fillId="16" borderId="0" xfId="93" applyFont="1" applyFill="1" applyAlignment="1">
      <alignment horizontal="center" vertical="center" wrapText="1"/>
    </xf>
    <xf numFmtId="0" fontId="44" fillId="15" borderId="0" xfId="85" applyFont="1" applyFill="1" applyAlignment="1">
      <alignment horizontal="center" wrapText="1"/>
    </xf>
    <xf numFmtId="0" fontId="18" fillId="0" borderId="0" xfId="95" applyFont="1" applyAlignment="1">
      <alignment horizontal="right" vertical="center"/>
    </xf>
    <xf numFmtId="0" fontId="33" fillId="0" borderId="0" xfId="139" applyFont="1" applyAlignment="1">
      <alignment horizontal="center" wrapText="1"/>
    </xf>
    <xf numFmtId="0" fontId="33" fillId="0" borderId="10" xfId="139" applyFont="1" applyBorder="1" applyAlignment="1">
      <alignment horizontal="center" wrapText="1"/>
    </xf>
    <xf numFmtId="0" fontId="24" fillId="0" borderId="0" xfId="93" applyFont="1" applyAlignment="1">
      <alignment horizontal="center" vertical="center" wrapText="1"/>
    </xf>
    <xf numFmtId="0" fontId="0" fillId="0" borderId="0" xfId="0" applyAlignment="1">
      <alignment horizontal="left" vertical="top" wrapText="1"/>
    </xf>
    <xf numFmtId="0" fontId="55" fillId="0" borderId="5" xfId="0" applyFont="1" applyBorder="1" applyAlignment="1">
      <alignment horizontal="center"/>
    </xf>
    <xf numFmtId="0" fontId="55" fillId="0" borderId="6" xfId="0" applyFont="1" applyBorder="1" applyAlignment="1">
      <alignment horizontal="center"/>
    </xf>
    <xf numFmtId="0" fontId="75" fillId="14" borderId="0" xfId="85" applyFont="1" applyFill="1" applyAlignment="1">
      <alignment horizontal="center" wrapText="1"/>
    </xf>
    <xf numFmtId="0" fontId="77" fillId="0" borderId="10" xfId="0" applyFont="1" applyBorder="1" applyAlignment="1">
      <alignment horizontal="center"/>
    </xf>
    <xf numFmtId="0" fontId="6" fillId="17" borderId="5" xfId="139" applyFill="1" applyBorder="1" applyAlignment="1" applyProtection="1">
      <alignment horizontal="left" vertical="center" wrapText="1"/>
      <protection locked="0"/>
    </xf>
    <xf numFmtId="0" fontId="81" fillId="0" borderId="0" xfId="149" applyFont="1" applyAlignment="1">
      <alignment horizontal="center" vertical="center" wrapText="1"/>
    </xf>
    <xf numFmtId="0" fontId="11" fillId="7" borderId="0" xfId="149" applyFont="1" applyFill="1" applyAlignment="1">
      <alignment horizontal="right" vertical="center" wrapText="1"/>
    </xf>
    <xf numFmtId="0" fontId="11" fillId="7" borderId="13" xfId="149" applyFont="1" applyFill="1" applyBorder="1" applyAlignment="1">
      <alignment horizontal="right" vertical="center" wrapText="1"/>
    </xf>
    <xf numFmtId="0" fontId="59" fillId="0" borderId="0" xfId="98" applyFont="1" applyAlignment="1">
      <alignment horizontal="center"/>
    </xf>
    <xf numFmtId="0" fontId="6" fillId="0" borderId="3" xfId="170" applyBorder="1" applyAlignment="1">
      <alignment horizontal="right"/>
    </xf>
    <xf numFmtId="0" fontId="6" fillId="0" borderId="7" xfId="170" applyBorder="1" applyAlignment="1">
      <alignment horizontal="right"/>
    </xf>
    <xf numFmtId="0" fontId="6" fillId="9" borderId="5" xfId="170" applyFill="1" applyBorder="1" applyAlignment="1" applyProtection="1">
      <alignment horizontal="left"/>
      <protection locked="0"/>
    </xf>
    <xf numFmtId="0" fontId="6" fillId="9" borderId="12" xfId="170" applyFill="1" applyBorder="1" applyAlignment="1" applyProtection="1">
      <alignment horizontal="left"/>
      <protection locked="0"/>
    </xf>
    <xf numFmtId="0" fontId="6" fillId="9" borderId="6" xfId="170" applyFill="1" applyBorder="1" applyAlignment="1" applyProtection="1">
      <alignment horizontal="left"/>
      <protection locked="0"/>
    </xf>
    <xf numFmtId="0" fontId="6" fillId="0" borderId="5" xfId="172" applyBorder="1" applyAlignment="1">
      <alignment horizontal="right" vertical="center"/>
    </xf>
    <xf numFmtId="0" fontId="6" fillId="0" borderId="6" xfId="172" applyBorder="1" applyAlignment="1">
      <alignment horizontal="right" vertical="center"/>
    </xf>
    <xf numFmtId="0" fontId="8" fillId="9" borderId="5" xfId="172" applyFont="1" applyFill="1" applyBorder="1" applyAlignment="1" applyProtection="1">
      <alignment horizontal="left" wrapText="1"/>
      <protection locked="0"/>
    </xf>
    <xf numFmtId="0" fontId="8" fillId="9" borderId="6" xfId="172" applyFont="1" applyFill="1" applyBorder="1" applyAlignment="1" applyProtection="1">
      <alignment horizontal="left" wrapText="1"/>
      <protection locked="0"/>
    </xf>
    <xf numFmtId="0" fontId="6" fillId="9" borderId="5" xfId="172" applyFill="1" applyBorder="1" applyAlignment="1" applyProtection="1">
      <alignment horizontal="left"/>
      <protection locked="0"/>
    </xf>
    <xf numFmtId="0" fontId="6" fillId="9" borderId="12" xfId="172" applyFill="1" applyBorder="1" applyAlignment="1" applyProtection="1">
      <alignment horizontal="left"/>
      <protection locked="0"/>
    </xf>
    <xf numFmtId="0" fontId="6" fillId="9" borderId="6" xfId="172" applyFill="1" applyBorder="1" applyAlignment="1" applyProtection="1">
      <alignment horizontal="left"/>
      <protection locked="0"/>
    </xf>
    <xf numFmtId="0" fontId="75" fillId="14" borderId="0" xfId="85" applyFont="1" applyFill="1" applyAlignment="1">
      <alignment horizontal="center" vertical="center" wrapText="1"/>
    </xf>
    <xf numFmtId="0" fontId="6" fillId="0" borderId="5" xfId="170" applyBorder="1" applyAlignment="1">
      <alignment horizontal="right" vertical="center"/>
    </xf>
    <xf numFmtId="0" fontId="6" fillId="0" borderId="12" xfId="170" applyBorder="1" applyAlignment="1">
      <alignment horizontal="right" vertical="center"/>
    </xf>
    <xf numFmtId="0" fontId="8" fillId="9" borderId="5" xfId="170" applyFont="1" applyFill="1" applyBorder="1" applyAlignment="1" applyProtection="1">
      <alignment horizontal="left" wrapText="1"/>
      <protection locked="0"/>
    </xf>
    <xf numFmtId="0" fontId="8" fillId="9" borderId="12" xfId="170" applyFont="1" applyFill="1" applyBorder="1" applyAlignment="1" applyProtection="1">
      <alignment horizontal="left" wrapText="1"/>
      <protection locked="0"/>
    </xf>
    <xf numFmtId="0" fontId="73" fillId="0" borderId="0" xfId="97" applyFont="1" applyAlignment="1">
      <alignment horizontal="center" vertical="center" wrapText="1"/>
    </xf>
    <xf numFmtId="0" fontId="82" fillId="0" borderId="0" xfId="151" applyFont="1" applyAlignment="1">
      <alignment horizontal="center" vertical="center"/>
    </xf>
    <xf numFmtId="0" fontId="57" fillId="0" borderId="0" xfId="98" applyAlignment="1">
      <alignment horizontal="right"/>
    </xf>
    <xf numFmtId="0" fontId="74" fillId="13" borderId="14" xfId="98" applyFont="1" applyFill="1" applyBorder="1" applyAlignment="1">
      <alignment horizontal="center" wrapText="1"/>
    </xf>
    <xf numFmtId="0" fontId="74" fillId="13" borderId="0" xfId="98" applyFont="1" applyFill="1" applyAlignment="1">
      <alignment horizontal="center" wrapText="1"/>
    </xf>
    <xf numFmtId="0" fontId="57" fillId="0" borderId="13" xfId="98" applyBorder="1" applyAlignment="1">
      <alignment horizontal="right"/>
    </xf>
    <xf numFmtId="0" fontId="8" fillId="9" borderId="11" xfId="170" applyFont="1" applyFill="1" applyBorder="1" applyAlignment="1" applyProtection="1">
      <alignment horizontal="left" wrapText="1"/>
      <protection locked="0"/>
    </xf>
    <xf numFmtId="0" fontId="8" fillId="9" borderId="10" xfId="170" applyFont="1" applyFill="1" applyBorder="1" applyAlignment="1" applyProtection="1">
      <alignment horizontal="left" wrapText="1"/>
      <protection locked="0"/>
    </xf>
    <xf numFmtId="0" fontId="8" fillId="9" borderId="15" xfId="170" applyFont="1" applyFill="1" applyBorder="1" applyAlignment="1" applyProtection="1">
      <alignment horizontal="left" wrapText="1"/>
      <protection locked="0"/>
    </xf>
    <xf numFmtId="0" fontId="76" fillId="13" borderId="14" xfId="170" applyFont="1" applyFill="1" applyBorder="1" applyAlignment="1">
      <alignment horizontal="center" vertical="center" wrapText="1"/>
    </xf>
    <xf numFmtId="0" fontId="76" fillId="13" borderId="0" xfId="170" applyFont="1" applyFill="1" applyAlignment="1">
      <alignment horizontal="center" vertical="center" wrapText="1"/>
    </xf>
    <xf numFmtId="0" fontId="76" fillId="13" borderId="11" xfId="170" applyFont="1" applyFill="1" applyBorder="1" applyAlignment="1">
      <alignment horizontal="center" vertical="center" wrapText="1"/>
    </xf>
    <xf numFmtId="0" fontId="76" fillId="13" borderId="10" xfId="170" applyFont="1" applyFill="1" applyBorder="1" applyAlignment="1">
      <alignment horizontal="center" vertical="center" wrapText="1"/>
    </xf>
    <xf numFmtId="0" fontId="14" fillId="0" borderId="14" xfId="81" applyFont="1" applyBorder="1" applyAlignment="1">
      <alignment horizontal="center" wrapText="1"/>
    </xf>
    <xf numFmtId="0" fontId="14" fillId="0" borderId="0" xfId="81" applyFont="1" applyAlignment="1">
      <alignment horizontal="center" wrapText="1"/>
    </xf>
    <xf numFmtId="0" fontId="7" fillId="0" borderId="0" xfId="81" applyFont="1" applyAlignment="1">
      <alignment horizontal="center" vertical="center" wrapText="1"/>
    </xf>
    <xf numFmtId="0" fontId="15" fillId="0" borderId="5" xfId="169" applyFont="1" applyBorder="1" applyAlignment="1">
      <alignment horizontal="right" vertical="center"/>
    </xf>
    <xf numFmtId="0" fontId="6" fillId="0" borderId="12" xfId="169" applyBorder="1" applyAlignment="1">
      <alignment horizontal="right" vertical="center"/>
    </xf>
    <xf numFmtId="0" fontId="8" fillId="17" borderId="5" xfId="169" applyFont="1" applyFill="1" applyBorder="1" applyAlignment="1" applyProtection="1">
      <alignment horizontal="left" wrapText="1"/>
      <protection locked="0"/>
    </xf>
    <xf numFmtId="0" fontId="8" fillId="17" borderId="12" xfId="169" applyFont="1" applyFill="1" applyBorder="1" applyAlignment="1" applyProtection="1">
      <alignment horizontal="left" wrapText="1"/>
      <protection locked="0"/>
    </xf>
    <xf numFmtId="0" fontId="8" fillId="17" borderId="6" xfId="169" applyFont="1" applyFill="1" applyBorder="1" applyAlignment="1" applyProtection="1">
      <alignment horizontal="left" wrapText="1"/>
      <protection locked="0"/>
    </xf>
    <xf numFmtId="0" fontId="6" fillId="17" borderId="5" xfId="169" applyFill="1" applyBorder="1" applyAlignment="1" applyProtection="1">
      <alignment horizontal="left"/>
      <protection locked="0"/>
    </xf>
    <xf numFmtId="0" fontId="6" fillId="17" borderId="12" xfId="169" applyFill="1" applyBorder="1" applyAlignment="1" applyProtection="1">
      <alignment horizontal="left"/>
      <protection locked="0"/>
    </xf>
    <xf numFmtId="0" fontId="6" fillId="17" borderId="6" xfId="169" applyFill="1" applyBorder="1" applyAlignment="1" applyProtection="1">
      <alignment horizontal="left"/>
      <protection locked="0"/>
    </xf>
    <xf numFmtId="0" fontId="6" fillId="0" borderId="3" xfId="169" applyBorder="1" applyAlignment="1">
      <alignment horizontal="right"/>
    </xf>
    <xf numFmtId="0" fontId="6" fillId="0" borderId="7" xfId="169" applyBorder="1" applyAlignment="1">
      <alignment horizontal="right"/>
    </xf>
    <xf numFmtId="0" fontId="15" fillId="17" borderId="5" xfId="171" applyFont="1" applyFill="1" applyBorder="1" applyAlignment="1" applyProtection="1">
      <alignment horizontal="left"/>
      <protection locked="0"/>
    </xf>
    <xf numFmtId="0" fontId="8" fillId="17" borderId="5" xfId="171" applyFont="1" applyFill="1" applyBorder="1" applyAlignment="1" applyProtection="1">
      <alignment horizontal="left" wrapText="1"/>
      <protection locked="0"/>
    </xf>
    <xf numFmtId="0" fontId="8" fillId="17" borderId="6" xfId="171" applyFont="1" applyFill="1" applyBorder="1" applyAlignment="1" applyProtection="1">
      <alignment horizontal="left" wrapText="1"/>
      <protection locked="0"/>
    </xf>
    <xf numFmtId="0" fontId="15" fillId="0" borderId="5" xfId="171" applyFont="1" applyBorder="1" applyAlignment="1">
      <alignment horizontal="right" vertical="center"/>
    </xf>
    <xf numFmtId="0" fontId="15" fillId="0" borderId="6" xfId="171" applyFont="1" applyBorder="1" applyAlignment="1">
      <alignment horizontal="right" vertical="center"/>
    </xf>
  </cellXfs>
  <cellStyles count="253">
    <cellStyle name="Comma" xfId="1" builtinId="3"/>
    <cellStyle name="Comma 2 10" xfId="2" xr:uid="{00000000-0005-0000-0000-000001000000}"/>
    <cellStyle name="Comma 2 10 2" xfId="3" xr:uid="{00000000-0005-0000-0000-000002000000}"/>
    <cellStyle name="Comma 2 11" xfId="4" xr:uid="{00000000-0005-0000-0000-000003000000}"/>
    <cellStyle name="Comma 2 11 2" xfId="5" xr:uid="{00000000-0005-0000-0000-000004000000}"/>
    <cellStyle name="Comma 2 12" xfId="6" xr:uid="{00000000-0005-0000-0000-000005000000}"/>
    <cellStyle name="Comma 2 12 2" xfId="7" xr:uid="{00000000-0005-0000-0000-000006000000}"/>
    <cellStyle name="Comma 2 13" xfId="8" xr:uid="{00000000-0005-0000-0000-000007000000}"/>
    <cellStyle name="Comma 2 13 2" xfId="9" xr:uid="{00000000-0005-0000-0000-000008000000}"/>
    <cellStyle name="Comma 2 14" xfId="10" xr:uid="{00000000-0005-0000-0000-000009000000}"/>
    <cellStyle name="Comma 2 14 2" xfId="11" xr:uid="{00000000-0005-0000-0000-00000A000000}"/>
    <cellStyle name="Comma 2 15" xfId="12" xr:uid="{00000000-0005-0000-0000-00000B000000}"/>
    <cellStyle name="Comma 2 15 2" xfId="13" xr:uid="{00000000-0005-0000-0000-00000C000000}"/>
    <cellStyle name="Comma 2 16" xfId="14" xr:uid="{00000000-0005-0000-0000-00000D000000}"/>
    <cellStyle name="Comma 2 16 2" xfId="15" xr:uid="{00000000-0005-0000-0000-00000E000000}"/>
    <cellStyle name="Comma 2 17" xfId="16" xr:uid="{00000000-0005-0000-0000-00000F000000}"/>
    <cellStyle name="Comma 2 17 2" xfId="17" xr:uid="{00000000-0005-0000-0000-000010000000}"/>
    <cellStyle name="Comma 2 18" xfId="18" xr:uid="{00000000-0005-0000-0000-000011000000}"/>
    <cellStyle name="Comma 2 18 2" xfId="19" xr:uid="{00000000-0005-0000-0000-000012000000}"/>
    <cellStyle name="Comma 2 19" xfId="20" xr:uid="{00000000-0005-0000-0000-000013000000}"/>
    <cellStyle name="Comma 2 19 2" xfId="21" xr:uid="{00000000-0005-0000-0000-000014000000}"/>
    <cellStyle name="Comma 2 2" xfId="22" xr:uid="{00000000-0005-0000-0000-000015000000}"/>
    <cellStyle name="Comma 2 2 2" xfId="23" xr:uid="{00000000-0005-0000-0000-000016000000}"/>
    <cellStyle name="Comma 2 20" xfId="24" xr:uid="{00000000-0005-0000-0000-000017000000}"/>
    <cellStyle name="Comma 2 20 2" xfId="25" xr:uid="{00000000-0005-0000-0000-000018000000}"/>
    <cellStyle name="Comma 2 21" xfId="26" xr:uid="{00000000-0005-0000-0000-000019000000}"/>
    <cellStyle name="Comma 2 21 2" xfId="27" xr:uid="{00000000-0005-0000-0000-00001A000000}"/>
    <cellStyle name="Comma 2 22" xfId="28" xr:uid="{00000000-0005-0000-0000-00001B000000}"/>
    <cellStyle name="Comma 2 22 2" xfId="29" xr:uid="{00000000-0005-0000-0000-00001C000000}"/>
    <cellStyle name="Comma 2 23" xfId="30" xr:uid="{00000000-0005-0000-0000-00001D000000}"/>
    <cellStyle name="Comma 2 23 2" xfId="31" xr:uid="{00000000-0005-0000-0000-00001E000000}"/>
    <cellStyle name="Comma 2 24" xfId="32" xr:uid="{00000000-0005-0000-0000-00001F000000}"/>
    <cellStyle name="Comma 2 24 2" xfId="33" xr:uid="{00000000-0005-0000-0000-000020000000}"/>
    <cellStyle name="Comma 2 25" xfId="34" xr:uid="{00000000-0005-0000-0000-000021000000}"/>
    <cellStyle name="Comma 2 25 2" xfId="35" xr:uid="{00000000-0005-0000-0000-000022000000}"/>
    <cellStyle name="Comma 2 26" xfId="36" xr:uid="{00000000-0005-0000-0000-000023000000}"/>
    <cellStyle name="Comma 2 26 2" xfId="37" xr:uid="{00000000-0005-0000-0000-000024000000}"/>
    <cellStyle name="Comma 2 27" xfId="38" xr:uid="{00000000-0005-0000-0000-000025000000}"/>
    <cellStyle name="Comma 2 27 2" xfId="39" xr:uid="{00000000-0005-0000-0000-000026000000}"/>
    <cellStyle name="Comma 2 28" xfId="40" xr:uid="{00000000-0005-0000-0000-000027000000}"/>
    <cellStyle name="Comma 2 28 2" xfId="41" xr:uid="{00000000-0005-0000-0000-000028000000}"/>
    <cellStyle name="Comma 2 29" xfId="42" xr:uid="{00000000-0005-0000-0000-000029000000}"/>
    <cellStyle name="Comma 2 29 2" xfId="43" xr:uid="{00000000-0005-0000-0000-00002A000000}"/>
    <cellStyle name="Comma 2 3" xfId="44" xr:uid="{00000000-0005-0000-0000-00002B000000}"/>
    <cellStyle name="Comma 2 3 2" xfId="45" xr:uid="{00000000-0005-0000-0000-00002C000000}"/>
    <cellStyle name="Comma 2 30" xfId="46" xr:uid="{00000000-0005-0000-0000-00002D000000}"/>
    <cellStyle name="Comma 2 30 2" xfId="47" xr:uid="{00000000-0005-0000-0000-00002E000000}"/>
    <cellStyle name="Comma 2 31" xfId="48" xr:uid="{00000000-0005-0000-0000-00002F000000}"/>
    <cellStyle name="Comma 2 31 2" xfId="49" xr:uid="{00000000-0005-0000-0000-000030000000}"/>
    <cellStyle name="Comma 2 32" xfId="50" xr:uid="{00000000-0005-0000-0000-000031000000}"/>
    <cellStyle name="Comma 2 32 2" xfId="51" xr:uid="{00000000-0005-0000-0000-000032000000}"/>
    <cellStyle name="Comma 2 33" xfId="52" xr:uid="{00000000-0005-0000-0000-000033000000}"/>
    <cellStyle name="Comma 2 33 2" xfId="53" xr:uid="{00000000-0005-0000-0000-000034000000}"/>
    <cellStyle name="Comma 2 34" xfId="54" xr:uid="{00000000-0005-0000-0000-000035000000}"/>
    <cellStyle name="Comma 2 34 2" xfId="55" xr:uid="{00000000-0005-0000-0000-000036000000}"/>
    <cellStyle name="Comma 2 35" xfId="56" xr:uid="{00000000-0005-0000-0000-000037000000}"/>
    <cellStyle name="Comma 2 35 2" xfId="57" xr:uid="{00000000-0005-0000-0000-000038000000}"/>
    <cellStyle name="Comma 2 36" xfId="58" xr:uid="{00000000-0005-0000-0000-000039000000}"/>
    <cellStyle name="Comma 2 36 2" xfId="59" xr:uid="{00000000-0005-0000-0000-00003A000000}"/>
    <cellStyle name="Comma 2 37" xfId="60" xr:uid="{00000000-0005-0000-0000-00003B000000}"/>
    <cellStyle name="Comma 2 37 2" xfId="61" xr:uid="{00000000-0005-0000-0000-00003C000000}"/>
    <cellStyle name="Comma 2 38" xfId="62" xr:uid="{00000000-0005-0000-0000-00003D000000}"/>
    <cellStyle name="Comma 2 38 2" xfId="63" xr:uid="{00000000-0005-0000-0000-00003E000000}"/>
    <cellStyle name="Comma 2 39" xfId="64" xr:uid="{00000000-0005-0000-0000-00003F000000}"/>
    <cellStyle name="Comma 2 39 2" xfId="65" xr:uid="{00000000-0005-0000-0000-000040000000}"/>
    <cellStyle name="Comma 2 4" xfId="66" xr:uid="{00000000-0005-0000-0000-000041000000}"/>
    <cellStyle name="Comma 2 4 2" xfId="67" xr:uid="{00000000-0005-0000-0000-000042000000}"/>
    <cellStyle name="Comma 2 5" xfId="68" xr:uid="{00000000-0005-0000-0000-000043000000}"/>
    <cellStyle name="Comma 2 5 2" xfId="69" xr:uid="{00000000-0005-0000-0000-000044000000}"/>
    <cellStyle name="Comma 2 6" xfId="70" xr:uid="{00000000-0005-0000-0000-000045000000}"/>
    <cellStyle name="Comma 2 6 2" xfId="71" xr:uid="{00000000-0005-0000-0000-000046000000}"/>
    <cellStyle name="Comma 2 7" xfId="72" xr:uid="{00000000-0005-0000-0000-000047000000}"/>
    <cellStyle name="Comma 2 7 2" xfId="73" xr:uid="{00000000-0005-0000-0000-000048000000}"/>
    <cellStyle name="Comma 2 8" xfId="74" xr:uid="{00000000-0005-0000-0000-000049000000}"/>
    <cellStyle name="Comma 2 8 2" xfId="75" xr:uid="{00000000-0005-0000-0000-00004A000000}"/>
    <cellStyle name="Comma 2 9" xfId="76" xr:uid="{00000000-0005-0000-0000-00004B000000}"/>
    <cellStyle name="Comma 2 9 2" xfId="77" xr:uid="{00000000-0005-0000-0000-00004C000000}"/>
    <cellStyle name="Comma 40" xfId="78" xr:uid="{00000000-0005-0000-0000-00004D000000}"/>
    <cellStyle name="Currency" xfId="79" builtinId="4"/>
    <cellStyle name="Currency 40" xfId="80" xr:uid="{00000000-0005-0000-0000-00004F000000}"/>
    <cellStyle name="Normal" xfId="0" builtinId="0"/>
    <cellStyle name="Normal 10" xfId="81" xr:uid="{00000000-0005-0000-0000-000051000000}"/>
    <cellStyle name="Normal 10 2" xfId="82" xr:uid="{00000000-0005-0000-0000-000052000000}"/>
    <cellStyle name="Normal 12" xfId="83" xr:uid="{00000000-0005-0000-0000-000053000000}"/>
    <cellStyle name="Normal 12 2" xfId="84" xr:uid="{00000000-0005-0000-0000-000054000000}"/>
    <cellStyle name="Normal 13" xfId="85" xr:uid="{00000000-0005-0000-0000-000055000000}"/>
    <cellStyle name="Normal 13 2" xfId="86" xr:uid="{00000000-0005-0000-0000-000056000000}"/>
    <cellStyle name="Normal 14" xfId="87" xr:uid="{00000000-0005-0000-0000-000057000000}"/>
    <cellStyle name="Normal 14 2" xfId="88" xr:uid="{00000000-0005-0000-0000-000058000000}"/>
    <cellStyle name="Normal 15" xfId="89" xr:uid="{00000000-0005-0000-0000-000059000000}"/>
    <cellStyle name="Normal 15 2" xfId="90" xr:uid="{00000000-0005-0000-0000-00005A000000}"/>
    <cellStyle name="Normal 16" xfId="91" xr:uid="{00000000-0005-0000-0000-00005B000000}"/>
    <cellStyle name="Normal 16 2" xfId="92" xr:uid="{00000000-0005-0000-0000-00005C000000}"/>
    <cellStyle name="Normal 18" xfId="93" xr:uid="{00000000-0005-0000-0000-00005D000000}"/>
    <cellStyle name="Normal 18 2" xfId="94" xr:uid="{00000000-0005-0000-0000-00005E000000}"/>
    <cellStyle name="Normal 19" xfId="95" xr:uid="{00000000-0005-0000-0000-00005F000000}"/>
    <cellStyle name="Normal 19 2" xfId="96" xr:uid="{00000000-0005-0000-0000-000060000000}"/>
    <cellStyle name="Normal 2" xfId="97" xr:uid="{00000000-0005-0000-0000-000061000000}"/>
    <cellStyle name="Normal 2 10" xfId="98" xr:uid="{00000000-0005-0000-0000-000062000000}"/>
    <cellStyle name="Normal 2 11" xfId="99" xr:uid="{00000000-0005-0000-0000-000063000000}"/>
    <cellStyle name="Normal 2 12" xfId="100" xr:uid="{00000000-0005-0000-0000-000064000000}"/>
    <cellStyle name="Normal 2 13" xfId="101" xr:uid="{00000000-0005-0000-0000-000065000000}"/>
    <cellStyle name="Normal 2 14" xfId="102" xr:uid="{00000000-0005-0000-0000-000066000000}"/>
    <cellStyle name="Normal 2 15" xfId="103" xr:uid="{00000000-0005-0000-0000-000067000000}"/>
    <cellStyle name="Normal 2 16" xfId="104" xr:uid="{00000000-0005-0000-0000-000068000000}"/>
    <cellStyle name="Normal 2 17" xfId="105" xr:uid="{00000000-0005-0000-0000-000069000000}"/>
    <cellStyle name="Normal 2 18" xfId="106" xr:uid="{00000000-0005-0000-0000-00006A000000}"/>
    <cellStyle name="Normal 2 19" xfId="107" xr:uid="{00000000-0005-0000-0000-00006B000000}"/>
    <cellStyle name="Normal 2 2" xfId="108" xr:uid="{00000000-0005-0000-0000-00006C000000}"/>
    <cellStyle name="Normal 2 20" xfId="109" xr:uid="{00000000-0005-0000-0000-00006D000000}"/>
    <cellStyle name="Normal 2 21" xfId="110" xr:uid="{00000000-0005-0000-0000-00006E000000}"/>
    <cellStyle name="Normal 2 22" xfId="111" xr:uid="{00000000-0005-0000-0000-00006F000000}"/>
    <cellStyle name="Normal 2 23" xfId="112" xr:uid="{00000000-0005-0000-0000-000070000000}"/>
    <cellStyle name="Normal 2 24" xfId="113" xr:uid="{00000000-0005-0000-0000-000071000000}"/>
    <cellStyle name="Normal 2 25" xfId="114" xr:uid="{00000000-0005-0000-0000-000072000000}"/>
    <cellStyle name="Normal 2 26" xfId="115" xr:uid="{00000000-0005-0000-0000-000073000000}"/>
    <cellStyle name="Normal 2 27" xfId="116" xr:uid="{00000000-0005-0000-0000-000074000000}"/>
    <cellStyle name="Normal 2 28" xfId="117" xr:uid="{00000000-0005-0000-0000-000075000000}"/>
    <cellStyle name="Normal 2 29" xfId="118" xr:uid="{00000000-0005-0000-0000-000076000000}"/>
    <cellStyle name="Normal 2 3" xfId="119" xr:uid="{00000000-0005-0000-0000-000077000000}"/>
    <cellStyle name="Normal 2 30" xfId="120" xr:uid="{00000000-0005-0000-0000-000078000000}"/>
    <cellStyle name="Normal 2 31" xfId="121" xr:uid="{00000000-0005-0000-0000-000079000000}"/>
    <cellStyle name="Normal 2 32" xfId="122" xr:uid="{00000000-0005-0000-0000-00007A000000}"/>
    <cellStyle name="Normal 2 33" xfId="123" xr:uid="{00000000-0005-0000-0000-00007B000000}"/>
    <cellStyle name="Normal 2 34" xfId="124" xr:uid="{00000000-0005-0000-0000-00007C000000}"/>
    <cellStyle name="Normal 2 35" xfId="125" xr:uid="{00000000-0005-0000-0000-00007D000000}"/>
    <cellStyle name="Normal 2 36" xfId="126" xr:uid="{00000000-0005-0000-0000-00007E000000}"/>
    <cellStyle name="Normal 2 37" xfId="127" xr:uid="{00000000-0005-0000-0000-00007F000000}"/>
    <cellStyle name="Normal 2 38" xfId="128" xr:uid="{00000000-0005-0000-0000-000080000000}"/>
    <cellStyle name="Normal 2 39" xfId="129" xr:uid="{00000000-0005-0000-0000-000081000000}"/>
    <cellStyle name="Normal 2 4" xfId="130" xr:uid="{00000000-0005-0000-0000-000082000000}"/>
    <cellStyle name="Normal 2 40" xfId="131" xr:uid="{00000000-0005-0000-0000-000083000000}"/>
    <cellStyle name="Normal 2 5" xfId="132" xr:uid="{00000000-0005-0000-0000-000084000000}"/>
    <cellStyle name="Normal 2 6" xfId="133" xr:uid="{00000000-0005-0000-0000-000085000000}"/>
    <cellStyle name="Normal 2 7" xfId="134" xr:uid="{00000000-0005-0000-0000-000086000000}"/>
    <cellStyle name="Normal 2 8" xfId="135" xr:uid="{00000000-0005-0000-0000-000087000000}"/>
    <cellStyle name="Normal 2 9" xfId="136" xr:uid="{00000000-0005-0000-0000-000088000000}"/>
    <cellStyle name="Normal 20" xfId="137" xr:uid="{00000000-0005-0000-0000-000089000000}"/>
    <cellStyle name="Normal 20 2" xfId="138" xr:uid="{00000000-0005-0000-0000-00008A000000}"/>
    <cellStyle name="Normal 22" xfId="139" xr:uid="{00000000-0005-0000-0000-00008B000000}"/>
    <cellStyle name="Normal 22 2" xfId="140" xr:uid="{00000000-0005-0000-0000-00008C000000}"/>
    <cellStyle name="Normal 24" xfId="141" xr:uid="{00000000-0005-0000-0000-00008D000000}"/>
    <cellStyle name="Normal 24 2" xfId="142" xr:uid="{00000000-0005-0000-0000-00008E000000}"/>
    <cellStyle name="Normal 25" xfId="143" xr:uid="{00000000-0005-0000-0000-00008F000000}"/>
    <cellStyle name="Normal 25 2" xfId="144" xr:uid="{00000000-0005-0000-0000-000090000000}"/>
    <cellStyle name="Normal 26" xfId="145" xr:uid="{00000000-0005-0000-0000-000091000000}"/>
    <cellStyle name="Normal 26 2" xfId="146" xr:uid="{00000000-0005-0000-0000-000092000000}"/>
    <cellStyle name="Normal 27" xfId="147" xr:uid="{00000000-0005-0000-0000-000093000000}"/>
    <cellStyle name="Normal 27 2" xfId="148" xr:uid="{00000000-0005-0000-0000-000094000000}"/>
    <cellStyle name="Normal 28" xfId="149" xr:uid="{00000000-0005-0000-0000-000095000000}"/>
    <cellStyle name="Normal 28 2" xfId="150" xr:uid="{00000000-0005-0000-0000-000096000000}"/>
    <cellStyle name="Normal 3" xfId="151" xr:uid="{00000000-0005-0000-0000-000097000000}"/>
    <cellStyle name="Normal 3 2" xfId="152" xr:uid="{00000000-0005-0000-0000-000098000000}"/>
    <cellStyle name="Normal 31" xfId="153" xr:uid="{00000000-0005-0000-0000-000099000000}"/>
    <cellStyle name="Normal 31 2" xfId="154" xr:uid="{00000000-0005-0000-0000-00009A000000}"/>
    <cellStyle name="Normal 32" xfId="155" xr:uid="{00000000-0005-0000-0000-00009B000000}"/>
    <cellStyle name="Normal 32 2" xfId="156" xr:uid="{00000000-0005-0000-0000-00009C000000}"/>
    <cellStyle name="Normal 33" xfId="157" xr:uid="{00000000-0005-0000-0000-00009D000000}"/>
    <cellStyle name="Normal 33 2" xfId="158" xr:uid="{00000000-0005-0000-0000-00009E000000}"/>
    <cellStyle name="Normal 34" xfId="159" xr:uid="{00000000-0005-0000-0000-00009F000000}"/>
    <cellStyle name="Normal 34 2" xfId="160" xr:uid="{00000000-0005-0000-0000-0000A0000000}"/>
    <cellStyle name="Normal 35" xfId="161" xr:uid="{00000000-0005-0000-0000-0000A1000000}"/>
    <cellStyle name="Normal 35 2" xfId="162" xr:uid="{00000000-0005-0000-0000-0000A2000000}"/>
    <cellStyle name="Normal 36" xfId="163" xr:uid="{00000000-0005-0000-0000-0000A3000000}"/>
    <cellStyle name="Normal 36 2" xfId="164" xr:uid="{00000000-0005-0000-0000-0000A4000000}"/>
    <cellStyle name="Normal 37" xfId="165" xr:uid="{00000000-0005-0000-0000-0000A5000000}"/>
    <cellStyle name="Normal 37 2" xfId="166" xr:uid="{00000000-0005-0000-0000-0000A6000000}"/>
    <cellStyle name="Normal 39" xfId="167" xr:uid="{00000000-0005-0000-0000-0000A7000000}"/>
    <cellStyle name="Normal 39 2" xfId="168" xr:uid="{00000000-0005-0000-0000-0000A8000000}"/>
    <cellStyle name="Normal 5" xfId="169" xr:uid="{00000000-0005-0000-0000-0000A9000000}"/>
    <cellStyle name="Normal 5 2" xfId="170" xr:uid="{00000000-0005-0000-0000-0000AA000000}"/>
    <cellStyle name="Normal 6" xfId="171" xr:uid="{00000000-0005-0000-0000-0000AB000000}"/>
    <cellStyle name="Normal 6 2" xfId="172" xr:uid="{00000000-0005-0000-0000-0000AC000000}"/>
    <cellStyle name="Normal 8" xfId="173" xr:uid="{00000000-0005-0000-0000-0000AD000000}"/>
    <cellStyle name="Normal 8 2" xfId="174" xr:uid="{00000000-0005-0000-0000-0000AE000000}"/>
    <cellStyle name="Percent" xfId="175" builtinId="5"/>
    <cellStyle name="Percent 2 10" xfId="176" xr:uid="{00000000-0005-0000-0000-0000B0000000}"/>
    <cellStyle name="Percent 2 10 2" xfId="177" xr:uid="{00000000-0005-0000-0000-0000B1000000}"/>
    <cellStyle name="Percent 2 11" xfId="178" xr:uid="{00000000-0005-0000-0000-0000B2000000}"/>
    <cellStyle name="Percent 2 11 2" xfId="179" xr:uid="{00000000-0005-0000-0000-0000B3000000}"/>
    <cellStyle name="Percent 2 12" xfId="180" xr:uid="{00000000-0005-0000-0000-0000B4000000}"/>
    <cellStyle name="Percent 2 12 2" xfId="181" xr:uid="{00000000-0005-0000-0000-0000B5000000}"/>
    <cellStyle name="Percent 2 13" xfId="182" xr:uid="{00000000-0005-0000-0000-0000B6000000}"/>
    <cellStyle name="Percent 2 13 2" xfId="183" xr:uid="{00000000-0005-0000-0000-0000B7000000}"/>
    <cellStyle name="Percent 2 14" xfId="184" xr:uid="{00000000-0005-0000-0000-0000B8000000}"/>
    <cellStyle name="Percent 2 14 2" xfId="185" xr:uid="{00000000-0005-0000-0000-0000B9000000}"/>
    <cellStyle name="Percent 2 15" xfId="186" xr:uid="{00000000-0005-0000-0000-0000BA000000}"/>
    <cellStyle name="Percent 2 15 2" xfId="187" xr:uid="{00000000-0005-0000-0000-0000BB000000}"/>
    <cellStyle name="Percent 2 16" xfId="188" xr:uid="{00000000-0005-0000-0000-0000BC000000}"/>
    <cellStyle name="Percent 2 16 2" xfId="189" xr:uid="{00000000-0005-0000-0000-0000BD000000}"/>
    <cellStyle name="Percent 2 17" xfId="190" xr:uid="{00000000-0005-0000-0000-0000BE000000}"/>
    <cellStyle name="Percent 2 17 2" xfId="191" xr:uid="{00000000-0005-0000-0000-0000BF000000}"/>
    <cellStyle name="Percent 2 18" xfId="192" xr:uid="{00000000-0005-0000-0000-0000C0000000}"/>
    <cellStyle name="Percent 2 18 2" xfId="193" xr:uid="{00000000-0005-0000-0000-0000C1000000}"/>
    <cellStyle name="Percent 2 19" xfId="194" xr:uid="{00000000-0005-0000-0000-0000C2000000}"/>
    <cellStyle name="Percent 2 19 2" xfId="195" xr:uid="{00000000-0005-0000-0000-0000C3000000}"/>
    <cellStyle name="Percent 2 2" xfId="196" xr:uid="{00000000-0005-0000-0000-0000C4000000}"/>
    <cellStyle name="Percent 2 2 2" xfId="197" xr:uid="{00000000-0005-0000-0000-0000C5000000}"/>
    <cellStyle name="Percent 2 20" xfId="198" xr:uid="{00000000-0005-0000-0000-0000C6000000}"/>
    <cellStyle name="Percent 2 20 2" xfId="199" xr:uid="{00000000-0005-0000-0000-0000C7000000}"/>
    <cellStyle name="Percent 2 21" xfId="200" xr:uid="{00000000-0005-0000-0000-0000C8000000}"/>
    <cellStyle name="Percent 2 21 2" xfId="201" xr:uid="{00000000-0005-0000-0000-0000C9000000}"/>
    <cellStyle name="Percent 2 22" xfId="202" xr:uid="{00000000-0005-0000-0000-0000CA000000}"/>
    <cellStyle name="Percent 2 22 2" xfId="203" xr:uid="{00000000-0005-0000-0000-0000CB000000}"/>
    <cellStyle name="Percent 2 23" xfId="204" xr:uid="{00000000-0005-0000-0000-0000CC000000}"/>
    <cellStyle name="Percent 2 23 2" xfId="205" xr:uid="{00000000-0005-0000-0000-0000CD000000}"/>
    <cellStyle name="Percent 2 24" xfId="206" xr:uid="{00000000-0005-0000-0000-0000CE000000}"/>
    <cellStyle name="Percent 2 24 2" xfId="207" xr:uid="{00000000-0005-0000-0000-0000CF000000}"/>
    <cellStyle name="Percent 2 25" xfId="208" xr:uid="{00000000-0005-0000-0000-0000D0000000}"/>
    <cellStyle name="Percent 2 25 2" xfId="209" xr:uid="{00000000-0005-0000-0000-0000D1000000}"/>
    <cellStyle name="Percent 2 26" xfId="210" xr:uid="{00000000-0005-0000-0000-0000D2000000}"/>
    <cellStyle name="Percent 2 26 2" xfId="211" xr:uid="{00000000-0005-0000-0000-0000D3000000}"/>
    <cellStyle name="Percent 2 27" xfId="212" xr:uid="{00000000-0005-0000-0000-0000D4000000}"/>
    <cellStyle name="Percent 2 27 2" xfId="213" xr:uid="{00000000-0005-0000-0000-0000D5000000}"/>
    <cellStyle name="Percent 2 28" xfId="214" xr:uid="{00000000-0005-0000-0000-0000D6000000}"/>
    <cellStyle name="Percent 2 28 2" xfId="215" xr:uid="{00000000-0005-0000-0000-0000D7000000}"/>
    <cellStyle name="Percent 2 29" xfId="216" xr:uid="{00000000-0005-0000-0000-0000D8000000}"/>
    <cellStyle name="Percent 2 29 2" xfId="217" xr:uid="{00000000-0005-0000-0000-0000D9000000}"/>
    <cellStyle name="Percent 2 3" xfId="218" xr:uid="{00000000-0005-0000-0000-0000DA000000}"/>
    <cellStyle name="Percent 2 3 2" xfId="219" xr:uid="{00000000-0005-0000-0000-0000DB000000}"/>
    <cellStyle name="Percent 2 30" xfId="220" xr:uid="{00000000-0005-0000-0000-0000DC000000}"/>
    <cellStyle name="Percent 2 30 2" xfId="221" xr:uid="{00000000-0005-0000-0000-0000DD000000}"/>
    <cellStyle name="Percent 2 31" xfId="222" xr:uid="{00000000-0005-0000-0000-0000DE000000}"/>
    <cellStyle name="Percent 2 31 2" xfId="223" xr:uid="{00000000-0005-0000-0000-0000DF000000}"/>
    <cellStyle name="Percent 2 32" xfId="224" xr:uid="{00000000-0005-0000-0000-0000E0000000}"/>
    <cellStyle name="Percent 2 32 2" xfId="225" xr:uid="{00000000-0005-0000-0000-0000E1000000}"/>
    <cellStyle name="Percent 2 33" xfId="226" xr:uid="{00000000-0005-0000-0000-0000E2000000}"/>
    <cellStyle name="Percent 2 33 2" xfId="227" xr:uid="{00000000-0005-0000-0000-0000E3000000}"/>
    <cellStyle name="Percent 2 34" xfId="228" xr:uid="{00000000-0005-0000-0000-0000E4000000}"/>
    <cellStyle name="Percent 2 34 2" xfId="229" xr:uid="{00000000-0005-0000-0000-0000E5000000}"/>
    <cellStyle name="Percent 2 35" xfId="230" xr:uid="{00000000-0005-0000-0000-0000E6000000}"/>
    <cellStyle name="Percent 2 35 2" xfId="231" xr:uid="{00000000-0005-0000-0000-0000E7000000}"/>
    <cellStyle name="Percent 2 36" xfId="232" xr:uid="{00000000-0005-0000-0000-0000E8000000}"/>
    <cellStyle name="Percent 2 36 2" xfId="233" xr:uid="{00000000-0005-0000-0000-0000E9000000}"/>
    <cellStyle name="Percent 2 37" xfId="234" xr:uid="{00000000-0005-0000-0000-0000EA000000}"/>
    <cellStyle name="Percent 2 37 2" xfId="235" xr:uid="{00000000-0005-0000-0000-0000EB000000}"/>
    <cellStyle name="Percent 2 38" xfId="236" xr:uid="{00000000-0005-0000-0000-0000EC000000}"/>
    <cellStyle name="Percent 2 38 2" xfId="237" xr:uid="{00000000-0005-0000-0000-0000ED000000}"/>
    <cellStyle name="Percent 2 39" xfId="238" xr:uid="{00000000-0005-0000-0000-0000EE000000}"/>
    <cellStyle name="Percent 2 39 2" xfId="239" xr:uid="{00000000-0005-0000-0000-0000EF000000}"/>
    <cellStyle name="Percent 2 4" xfId="240" xr:uid="{00000000-0005-0000-0000-0000F0000000}"/>
    <cellStyle name="Percent 2 4 2" xfId="241" xr:uid="{00000000-0005-0000-0000-0000F1000000}"/>
    <cellStyle name="Percent 2 5" xfId="242" xr:uid="{00000000-0005-0000-0000-0000F2000000}"/>
    <cellStyle name="Percent 2 5 2" xfId="243" xr:uid="{00000000-0005-0000-0000-0000F3000000}"/>
    <cellStyle name="Percent 2 6" xfId="244" xr:uid="{00000000-0005-0000-0000-0000F4000000}"/>
    <cellStyle name="Percent 2 6 2" xfId="245" xr:uid="{00000000-0005-0000-0000-0000F5000000}"/>
    <cellStyle name="Percent 2 7" xfId="246" xr:uid="{00000000-0005-0000-0000-0000F6000000}"/>
    <cellStyle name="Percent 2 7 2" xfId="247" xr:uid="{00000000-0005-0000-0000-0000F7000000}"/>
    <cellStyle name="Percent 2 8" xfId="248" xr:uid="{00000000-0005-0000-0000-0000F8000000}"/>
    <cellStyle name="Percent 2 8 2" xfId="249" xr:uid="{00000000-0005-0000-0000-0000F9000000}"/>
    <cellStyle name="Percent 2 9" xfId="250" xr:uid="{00000000-0005-0000-0000-0000FA000000}"/>
    <cellStyle name="Percent 2 9 2" xfId="251" xr:uid="{00000000-0005-0000-0000-0000FB000000}"/>
    <cellStyle name="Percent 40" xfId="252" xr:uid="{00000000-0005-0000-0000-0000FC000000}"/>
  </cellStyles>
  <dxfs count="10">
    <dxf>
      <font>
        <b/>
        <i/>
        <color rgb="FF002060"/>
      </font>
    </dxf>
    <dxf>
      <font>
        <b/>
        <i/>
        <color rgb="FF002060"/>
      </font>
    </dxf>
    <dxf>
      <font>
        <b/>
        <i val="0"/>
        <color rgb="FFFF0000"/>
      </font>
    </dxf>
    <dxf>
      <font>
        <b/>
        <i val="0"/>
        <color rgb="FFFF0000"/>
      </font>
    </dxf>
    <dxf>
      <font>
        <b/>
        <i val="0"/>
        <color rgb="FFFF0000"/>
      </font>
    </dxf>
    <dxf>
      <font>
        <b/>
        <i/>
        <color rgb="FFFF0000"/>
      </font>
    </dxf>
    <dxf>
      <font>
        <b/>
        <i val="0"/>
        <color rgb="FFFF0000"/>
      </font>
    </dxf>
    <dxf>
      <font>
        <b/>
        <i/>
        <strike val="0"/>
        <color theme="0" tint="-0.499984740745262"/>
      </font>
      <fill>
        <patternFill patternType="none">
          <bgColor indexed="65"/>
        </patternFill>
      </fill>
    </dxf>
    <dxf>
      <font>
        <b/>
        <i/>
        <strike val="0"/>
        <color theme="0" tint="-0.499984740745262"/>
      </font>
      <fill>
        <patternFill patternType="none">
          <bgColor indexed="65"/>
        </patternFill>
      </fill>
    </dxf>
    <dxf>
      <font>
        <b/>
        <i/>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E1FBFF"/>
      <rgbColor rgb="00EAEAE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0</xdr:rowOff>
    </xdr:from>
    <xdr:to>
      <xdr:col>1</xdr:col>
      <xdr:colOff>1463040</xdr:colOff>
      <xdr:row>5</xdr:row>
      <xdr:rowOff>15240</xdr:rowOff>
    </xdr:to>
    <xdr:pic>
      <xdr:nvPicPr>
        <xdr:cNvPr id="1318" name="Picture 1">
          <a:extLst>
            <a:ext uri="{FF2B5EF4-FFF2-40B4-BE49-F238E27FC236}">
              <a16:creationId xmlns:a16="http://schemas.microsoft.com/office/drawing/2014/main" id="{7845B2C4-7329-6A0E-8124-B8C84ECABE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0"/>
          <a:ext cx="13335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495300</xdr:colOff>
      <xdr:row>112</xdr:row>
      <xdr:rowOff>44450</xdr:rowOff>
    </xdr:from>
    <xdr:to>
      <xdr:col>19</xdr:col>
      <xdr:colOff>12700</xdr:colOff>
      <xdr:row>115</xdr:row>
      <xdr:rowOff>119536</xdr:rowOff>
    </xdr:to>
    <xdr:pic>
      <xdr:nvPicPr>
        <xdr:cNvPr id="2" name="Picture 1">
          <a:extLst>
            <a:ext uri="{FF2B5EF4-FFF2-40B4-BE49-F238E27FC236}">
              <a16:creationId xmlns:a16="http://schemas.microsoft.com/office/drawing/2014/main" id="{620A686C-3BE3-44A9-878D-1726A9C02B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72600" y="14674850"/>
          <a:ext cx="603250" cy="595786"/>
        </a:xfrm>
        <a:prstGeom prst="rect">
          <a:avLst/>
        </a:prstGeom>
      </xdr:spPr>
    </xdr:pic>
    <xdr:clientData/>
  </xdr:twoCellAnchor>
  <xdr:twoCellAnchor editAs="oneCell">
    <xdr:from>
      <xdr:col>9</xdr:col>
      <xdr:colOff>482600</xdr:colOff>
      <xdr:row>168</xdr:row>
      <xdr:rowOff>127000</xdr:rowOff>
    </xdr:from>
    <xdr:to>
      <xdr:col>10</xdr:col>
      <xdr:colOff>0</xdr:colOff>
      <xdr:row>172</xdr:row>
      <xdr:rowOff>36986</xdr:rowOff>
    </xdr:to>
    <xdr:pic>
      <xdr:nvPicPr>
        <xdr:cNvPr id="6" name="Picture 5">
          <a:extLst>
            <a:ext uri="{FF2B5EF4-FFF2-40B4-BE49-F238E27FC236}">
              <a16:creationId xmlns:a16="http://schemas.microsoft.com/office/drawing/2014/main" id="{C5A8F07C-31B4-4598-A190-E4FBB05F4E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59900" y="20320000"/>
          <a:ext cx="603250" cy="595786"/>
        </a:xfrm>
        <a:prstGeom prst="rect">
          <a:avLst/>
        </a:prstGeom>
      </xdr:spPr>
    </xdr:pic>
    <xdr:clientData/>
  </xdr:twoCellAnchor>
  <xdr:twoCellAnchor editAs="oneCell">
    <xdr:from>
      <xdr:col>9</xdr:col>
      <xdr:colOff>425450</xdr:colOff>
      <xdr:row>218</xdr:row>
      <xdr:rowOff>69850</xdr:rowOff>
    </xdr:from>
    <xdr:to>
      <xdr:col>9</xdr:col>
      <xdr:colOff>1028700</xdr:colOff>
      <xdr:row>222</xdr:row>
      <xdr:rowOff>17936</xdr:rowOff>
    </xdr:to>
    <xdr:pic>
      <xdr:nvPicPr>
        <xdr:cNvPr id="7" name="Picture 6">
          <a:extLst>
            <a:ext uri="{FF2B5EF4-FFF2-40B4-BE49-F238E27FC236}">
              <a16:creationId xmlns:a16="http://schemas.microsoft.com/office/drawing/2014/main" id="{EFAD409E-E18E-484A-80AB-38B8232450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02750" y="27768550"/>
          <a:ext cx="603250" cy="595786"/>
        </a:xfrm>
        <a:prstGeom prst="rect">
          <a:avLst/>
        </a:prstGeom>
      </xdr:spPr>
    </xdr:pic>
    <xdr:clientData/>
  </xdr:twoCellAnchor>
  <xdr:twoCellAnchor editAs="oneCell">
    <xdr:from>
      <xdr:col>9</xdr:col>
      <xdr:colOff>425450</xdr:colOff>
      <xdr:row>344</xdr:row>
      <xdr:rowOff>0</xdr:rowOff>
    </xdr:from>
    <xdr:to>
      <xdr:col>9</xdr:col>
      <xdr:colOff>1028700</xdr:colOff>
      <xdr:row>347</xdr:row>
      <xdr:rowOff>119536</xdr:rowOff>
    </xdr:to>
    <xdr:pic>
      <xdr:nvPicPr>
        <xdr:cNvPr id="8" name="Picture 7">
          <a:extLst>
            <a:ext uri="{FF2B5EF4-FFF2-40B4-BE49-F238E27FC236}">
              <a16:creationId xmlns:a16="http://schemas.microsoft.com/office/drawing/2014/main" id="{30DC0B85-53DF-4392-A071-859B264272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02750" y="43732450"/>
          <a:ext cx="603250" cy="5957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S350"/>
  <sheetViews>
    <sheetView showGridLines="0" showRowColHeaders="0" tabSelected="1" zoomScaleNormal="100" zoomScaleSheetLayoutView="100" workbookViewId="0">
      <selection activeCell="D8" sqref="D8:G8"/>
    </sheetView>
  </sheetViews>
  <sheetFormatPr defaultRowHeight="14.5" x14ac:dyDescent="0.35"/>
  <cols>
    <col min="1" max="1" width="0.7265625" customWidth="1"/>
    <col min="2" max="2" width="23.26953125" customWidth="1"/>
    <col min="3" max="3" width="14.7265625" customWidth="1"/>
    <col min="4" max="8" width="15.7265625" customWidth="1"/>
    <col min="9" max="9" width="9.7265625" customWidth="1"/>
    <col min="10" max="10" width="15.54296875" customWidth="1"/>
    <col min="11" max="11" width="9.1796875" style="52" hidden="1" customWidth="1"/>
    <col min="12" max="12" width="10.7265625" style="52" hidden="1" customWidth="1"/>
    <col min="13" max="17" width="11.1796875" style="52" hidden="1" customWidth="1"/>
    <col min="18" max="18" width="11.1796875" hidden="1" customWidth="1"/>
    <col min="19" max="19" width="9.1796875" hidden="1" customWidth="1"/>
  </cols>
  <sheetData>
    <row r="1" spans="2:10" ht="60" customHeight="1" x14ac:dyDescent="0.35">
      <c r="B1" s="57" t="s">
        <v>246</v>
      </c>
      <c r="C1" s="298" t="s">
        <v>228</v>
      </c>
      <c r="D1" s="298"/>
      <c r="E1" s="298"/>
      <c r="F1" s="298"/>
      <c r="G1" s="298"/>
      <c r="H1" s="298"/>
      <c r="I1" s="298"/>
      <c r="J1" s="298"/>
    </row>
    <row r="2" spans="2:10" ht="28.5" customHeight="1" x14ac:dyDescent="0.35">
      <c r="C2" s="299" t="s">
        <v>249</v>
      </c>
      <c r="D2" s="299"/>
      <c r="E2" s="299"/>
      <c r="F2" s="299"/>
      <c r="G2" s="299"/>
      <c r="H2" s="299"/>
      <c r="I2" s="299"/>
      <c r="J2" s="299"/>
    </row>
    <row r="3" spans="2:10" ht="4" customHeight="1" x14ac:dyDescent="0.35">
      <c r="C3" s="116"/>
      <c r="D3" s="116"/>
      <c r="E3" s="116"/>
      <c r="F3" s="116"/>
      <c r="G3" s="116"/>
      <c r="H3" s="116"/>
      <c r="I3" s="116"/>
      <c r="J3" s="116"/>
    </row>
    <row r="4" spans="2:10" ht="6" customHeight="1" x14ac:dyDescent="0.35">
      <c r="C4" s="117"/>
      <c r="D4" s="117"/>
      <c r="E4" s="117"/>
      <c r="F4" s="117"/>
      <c r="G4" s="117"/>
      <c r="H4" s="117"/>
      <c r="I4" s="117"/>
      <c r="J4" s="117"/>
    </row>
    <row r="5" spans="2:10" ht="4.5" customHeight="1" x14ac:dyDescent="0.35"/>
    <row r="6" spans="2:10" ht="18" customHeight="1" x14ac:dyDescent="0.35">
      <c r="B6" s="216" t="s">
        <v>115</v>
      </c>
      <c r="C6" s="216"/>
      <c r="D6" s="216"/>
      <c r="E6" s="216"/>
      <c r="F6" s="216"/>
      <c r="G6" s="216"/>
      <c r="H6" s="216"/>
      <c r="I6" s="216"/>
      <c r="J6" s="216"/>
    </row>
    <row r="7" spans="2:10" ht="6" customHeight="1" x14ac:dyDescent="0.35"/>
    <row r="8" spans="2:10" ht="15" customHeight="1" x14ac:dyDescent="0.35">
      <c r="B8" s="314" t="s">
        <v>0</v>
      </c>
      <c r="C8" s="315"/>
      <c r="D8" s="316"/>
      <c r="E8" s="317"/>
      <c r="F8" s="317"/>
      <c r="G8" s="318"/>
      <c r="H8" s="3"/>
      <c r="I8" s="4" t="s">
        <v>1</v>
      </c>
      <c r="J8" s="156"/>
    </row>
    <row r="9" spans="2:10" ht="15" customHeight="1" x14ac:dyDescent="0.35">
      <c r="B9" s="314" t="s">
        <v>2</v>
      </c>
      <c r="C9" s="315"/>
      <c r="D9" s="316"/>
      <c r="E9" s="317"/>
      <c r="F9" s="317"/>
      <c r="G9" s="318"/>
      <c r="H9" s="5"/>
      <c r="I9" s="1" t="s">
        <v>3</v>
      </c>
      <c r="J9" s="155"/>
    </row>
    <row r="10" spans="2:10" ht="15" customHeight="1" x14ac:dyDescent="0.35">
      <c r="B10" s="322" t="s">
        <v>114</v>
      </c>
      <c r="C10" s="323"/>
      <c r="D10" s="319"/>
      <c r="E10" s="320"/>
      <c r="F10" s="321"/>
      <c r="G10" s="2" t="s">
        <v>4</v>
      </c>
      <c r="H10" s="154"/>
      <c r="I10" s="1" t="s">
        <v>5</v>
      </c>
      <c r="J10" s="154"/>
    </row>
    <row r="11" spans="2:10" ht="15" hidden="1" customHeight="1" x14ac:dyDescent="0.35">
      <c r="H11" s="6" t="s">
        <v>6</v>
      </c>
    </row>
    <row r="12" spans="2:10" ht="15" hidden="1" customHeight="1" x14ac:dyDescent="0.35">
      <c r="H12" s="6" t="s">
        <v>7</v>
      </c>
    </row>
    <row r="13" spans="2:10" ht="15" hidden="1" customHeight="1" x14ac:dyDescent="0.35">
      <c r="H13" s="6" t="s">
        <v>8</v>
      </c>
    </row>
    <row r="14" spans="2:10" ht="15" hidden="1" customHeight="1" x14ac:dyDescent="0.35">
      <c r="H14" s="6" t="s">
        <v>9</v>
      </c>
    </row>
    <row r="15" spans="2:10" ht="15" hidden="1" customHeight="1" x14ac:dyDescent="0.35">
      <c r="H15" s="6" t="s">
        <v>10</v>
      </c>
    </row>
    <row r="16" spans="2:10" ht="15" hidden="1" customHeight="1" x14ac:dyDescent="0.35">
      <c r="H16" s="6" t="s">
        <v>11</v>
      </c>
    </row>
    <row r="17" spans="2:10" ht="15" hidden="1" customHeight="1" x14ac:dyDescent="0.35">
      <c r="H17" s="6" t="s">
        <v>12</v>
      </c>
    </row>
    <row r="18" spans="2:10" ht="15" hidden="1" customHeight="1" x14ac:dyDescent="0.35">
      <c r="H18" s="6" t="s">
        <v>13</v>
      </c>
    </row>
    <row r="19" spans="2:10" ht="15" customHeight="1" x14ac:dyDescent="0.35">
      <c r="B19" s="327" t="s">
        <v>14</v>
      </c>
      <c r="C19" s="328"/>
      <c r="D19" s="325"/>
      <c r="E19" s="326"/>
      <c r="F19" s="9"/>
      <c r="G19" s="8" t="s">
        <v>15</v>
      </c>
      <c r="H19" s="251"/>
      <c r="I19" s="252"/>
      <c r="J19" s="253"/>
    </row>
    <row r="20" spans="2:10" ht="15" customHeight="1" x14ac:dyDescent="0.35">
      <c r="B20" s="327" t="s">
        <v>16</v>
      </c>
      <c r="C20" s="328"/>
      <c r="D20" s="325"/>
      <c r="E20" s="326"/>
      <c r="F20" s="9"/>
      <c r="G20" s="7" t="s">
        <v>17</v>
      </c>
      <c r="H20" s="324"/>
      <c r="I20" s="252"/>
      <c r="J20" s="253"/>
    </row>
    <row r="21" spans="2:10" ht="6" customHeight="1" x14ac:dyDescent="0.35"/>
    <row r="22" spans="2:10" ht="18" customHeight="1" x14ac:dyDescent="0.35">
      <c r="B22" s="216" t="s">
        <v>116</v>
      </c>
      <c r="C22" s="216"/>
      <c r="D22" s="216"/>
      <c r="E22" s="216"/>
      <c r="F22" s="216"/>
      <c r="G22" s="216"/>
      <c r="H22" s="216"/>
      <c r="I22" s="216"/>
      <c r="J22" s="216"/>
    </row>
    <row r="23" spans="2:10" ht="6" customHeight="1" x14ac:dyDescent="0.35"/>
    <row r="24" spans="2:10" ht="19.5" customHeight="1" x14ac:dyDescent="0.35">
      <c r="B24" s="260" t="s">
        <v>18</v>
      </c>
      <c r="C24" s="261"/>
      <c r="D24" s="257"/>
      <c r="E24" s="258"/>
      <c r="F24" s="258"/>
      <c r="G24" s="258"/>
      <c r="H24" s="258"/>
      <c r="I24" s="258"/>
      <c r="J24" s="259"/>
    </row>
    <row r="25" spans="2:10" ht="15" customHeight="1" x14ac:dyDescent="0.35">
      <c r="B25" s="10"/>
      <c r="C25" s="13" t="s">
        <v>19</v>
      </c>
      <c r="D25" s="255"/>
      <c r="E25" s="254"/>
      <c r="F25" s="254"/>
      <c r="G25" s="256"/>
      <c r="H25" s="14"/>
      <c r="I25" s="15"/>
      <c r="J25" s="16"/>
    </row>
    <row r="26" spans="2:10" ht="15" customHeight="1" x14ac:dyDescent="0.35">
      <c r="B26" s="11"/>
      <c r="C26" s="12" t="s">
        <v>20</v>
      </c>
      <c r="D26" s="254"/>
      <c r="E26" s="254"/>
      <c r="F26" s="254"/>
      <c r="G26" s="254"/>
      <c r="H26" s="152"/>
      <c r="I26" s="150"/>
      <c r="J26" s="151"/>
    </row>
    <row r="27" spans="2:10" ht="15" customHeight="1" x14ac:dyDescent="0.35">
      <c r="B27" s="11"/>
      <c r="C27" s="12" t="s">
        <v>21</v>
      </c>
      <c r="D27" s="255"/>
      <c r="E27" s="254"/>
      <c r="F27" s="254"/>
      <c r="G27" s="256"/>
      <c r="H27" s="207" t="s">
        <v>256</v>
      </c>
      <c r="I27" s="208"/>
      <c r="J27" s="208"/>
    </row>
    <row r="28" spans="2:10" ht="15" customHeight="1" x14ac:dyDescent="0.35">
      <c r="B28" s="11"/>
      <c r="C28" s="12" t="s">
        <v>22</v>
      </c>
      <c r="D28" s="255"/>
      <c r="E28" s="254"/>
      <c r="F28" s="254"/>
      <c r="G28" s="256"/>
      <c r="H28" s="17"/>
      <c r="I28" s="146" t="s">
        <v>254</v>
      </c>
      <c r="J28" s="157"/>
    </row>
    <row r="29" spans="2:10" ht="15" customHeight="1" x14ac:dyDescent="0.35">
      <c r="B29" s="11"/>
      <c r="C29" s="12" t="s">
        <v>23</v>
      </c>
      <c r="D29" s="255"/>
      <c r="E29" s="254"/>
      <c r="F29" s="254"/>
      <c r="G29" s="256"/>
      <c r="H29" s="17"/>
      <c r="I29" s="146" t="s">
        <v>255</v>
      </c>
      <c r="J29" s="157"/>
    </row>
    <row r="30" spans="2:10" ht="6" customHeight="1" x14ac:dyDescent="0.35"/>
    <row r="31" spans="2:10" ht="18" customHeight="1" x14ac:dyDescent="0.35">
      <c r="B31" s="216" t="s">
        <v>117</v>
      </c>
      <c r="C31" s="216"/>
      <c r="D31" s="216"/>
      <c r="E31" s="216"/>
      <c r="F31" s="216"/>
      <c r="G31" s="216"/>
      <c r="H31" s="216"/>
      <c r="I31" s="216"/>
      <c r="J31" s="216"/>
    </row>
    <row r="32" spans="2:10" ht="6" customHeight="1" x14ac:dyDescent="0.35"/>
    <row r="33" spans="2:15" ht="30" customHeight="1" x14ac:dyDescent="0.35">
      <c r="C33" s="58"/>
      <c r="D33" s="265" t="s">
        <v>24</v>
      </c>
      <c r="E33" s="265"/>
      <c r="F33" s="265"/>
      <c r="G33" s="265"/>
      <c r="H33" s="313" t="s">
        <v>251</v>
      </c>
      <c r="I33" s="313"/>
      <c r="J33" s="313"/>
    </row>
    <row r="34" spans="2:15" ht="15" customHeight="1" x14ac:dyDescent="0.35">
      <c r="B34" s="59"/>
      <c r="C34" s="60"/>
      <c r="D34" s="130" t="s">
        <v>25</v>
      </c>
      <c r="E34" s="130" t="s">
        <v>26</v>
      </c>
      <c r="F34" s="130" t="s">
        <v>27</v>
      </c>
      <c r="G34" s="130" t="s">
        <v>28</v>
      </c>
      <c r="H34" s="313"/>
      <c r="I34" s="313"/>
      <c r="J34" s="313"/>
    </row>
    <row r="35" spans="2:15" x14ac:dyDescent="0.35">
      <c r="B35" s="209" t="s">
        <v>31</v>
      </c>
      <c r="C35" s="210"/>
      <c r="D35" s="158"/>
      <c r="E35" s="158"/>
      <c r="F35" s="158"/>
      <c r="G35" s="159"/>
      <c r="H35" s="153" t="s">
        <v>250</v>
      </c>
      <c r="I35" s="165" t="s">
        <v>30</v>
      </c>
      <c r="J35" s="98"/>
    </row>
    <row r="36" spans="2:15" x14ac:dyDescent="0.35">
      <c r="B36" s="19"/>
      <c r="C36" s="18" t="s">
        <v>32</v>
      </c>
      <c r="D36" s="160"/>
      <c r="E36" s="160"/>
      <c r="F36" s="160"/>
      <c r="G36" s="160"/>
      <c r="H36" s="311" t="str">
        <f>IF(mname2="","",IF(mname3="",IF(AND(mdob1=mdob2,mdob1&lt;&gt;""),"Each member needs one column only, Pension and Accumulation details can all go in the one column!",""),IF(mname4="",IF(OR(mdob1=mdob2,mdob1=mdob3,mdob2=mdob3),"Each member needs one column only, Pension and Accumulation details can all go in the one column!",""),IF(OR(mdob1=mdob2,mdob1=mdob3,mdob1=mdob4,mdob2=mdob3,mdob2=mdob4,mdob3=mdob4),"Each member needs one column only, Pension and Accumulation details can all go in the one column!",""))))</f>
        <v/>
      </c>
      <c r="I36" s="312"/>
      <c r="J36" s="312"/>
    </row>
    <row r="37" spans="2:15" x14ac:dyDescent="0.35">
      <c r="B37" s="264" t="s">
        <v>33</v>
      </c>
      <c r="C37" s="264"/>
      <c r="D37" s="161"/>
      <c r="E37" s="161"/>
      <c r="F37" s="162"/>
      <c r="G37" s="162"/>
      <c r="H37" s="311"/>
      <c r="I37" s="312"/>
      <c r="J37" s="312"/>
    </row>
    <row r="38" spans="2:15" x14ac:dyDescent="0.35">
      <c r="B38" s="209" t="s">
        <v>124</v>
      </c>
      <c r="C38" s="210"/>
      <c r="D38" s="162"/>
      <c r="E38" s="162"/>
      <c r="F38" s="162"/>
      <c r="G38" s="162"/>
      <c r="H38" s="311"/>
      <c r="I38" s="312"/>
      <c r="J38" s="312"/>
    </row>
    <row r="39" spans="2:15" hidden="1" x14ac:dyDescent="0.35">
      <c r="B39" s="71"/>
      <c r="C39" s="71"/>
      <c r="D39" s="70" t="s">
        <v>120</v>
      </c>
      <c r="E39" s="70" t="s">
        <v>120</v>
      </c>
      <c r="F39" s="70" t="s">
        <v>120</v>
      </c>
      <c r="G39" s="70" t="s">
        <v>120</v>
      </c>
      <c r="H39" s="69"/>
      <c r="I39" s="69"/>
      <c r="J39" s="69"/>
    </row>
    <row r="40" spans="2:15" hidden="1" x14ac:dyDescent="0.35">
      <c r="B40" s="71"/>
      <c r="C40" s="71"/>
      <c r="D40" s="70" t="s">
        <v>121</v>
      </c>
      <c r="E40" s="70" t="s">
        <v>121</v>
      </c>
      <c r="F40" s="70" t="s">
        <v>121</v>
      </c>
      <c r="G40" s="70" t="s">
        <v>121</v>
      </c>
      <c r="H40" s="69"/>
      <c r="I40" s="69"/>
      <c r="J40" s="69"/>
    </row>
    <row r="41" spans="2:15" ht="6" customHeight="1" x14ac:dyDescent="0.35"/>
    <row r="42" spans="2:15" ht="18" customHeight="1" x14ac:dyDescent="0.35">
      <c r="B42" s="216" t="s">
        <v>167</v>
      </c>
      <c r="C42" s="216"/>
      <c r="D42" s="216"/>
      <c r="E42" s="216"/>
      <c r="F42" s="216"/>
      <c r="G42" s="216"/>
      <c r="H42" s="216"/>
      <c r="I42" s="216"/>
      <c r="J42" s="216"/>
      <c r="O42" s="147"/>
    </row>
    <row r="43" spans="2:15" ht="6" customHeight="1" x14ac:dyDescent="0.35">
      <c r="O43" s="147"/>
    </row>
    <row r="44" spans="2:15" ht="17.149999999999999" customHeight="1" x14ac:dyDescent="0.35">
      <c r="B44" s="20"/>
      <c r="C44" s="20"/>
      <c r="D44" s="20"/>
      <c r="E44" s="196" t="s">
        <v>34</v>
      </c>
      <c r="F44" s="197" t="s">
        <v>248</v>
      </c>
      <c r="G44" s="198" t="s">
        <v>35</v>
      </c>
      <c r="H44" s="26" t="s">
        <v>36</v>
      </c>
      <c r="O44" s="147"/>
    </row>
    <row r="45" spans="2:15" ht="14.25" hidden="1" customHeight="1" x14ac:dyDescent="0.35">
      <c r="B45" s="24"/>
      <c r="C45" s="24"/>
      <c r="D45" s="24"/>
      <c r="E45" s="23" t="str">
        <f>CONCATENATE("If the Fund was established/commenced during the ",finyear," year - it commenced on ")</f>
        <v xml:space="preserve">If the Fund was established/commenced during the 2024/25 year - it commenced on </v>
      </c>
      <c r="F45" s="163"/>
      <c r="G45" s="21" t="str">
        <f>TEXT(start_year,"DD/MM/YYYY")</f>
        <v>01/07/2024</v>
      </c>
      <c r="I45" s="25">
        <f>IF(estdate&lt;&gt;"",IF(estdate&gt;yrstart,estdate,yrstart),yrstart)</f>
        <v>45474</v>
      </c>
      <c r="J45" s="25">
        <f>IF(finyear&lt;&gt;"",DATE(YEAR(I46)+1,6,30),DATE(2021,6,30))</f>
        <v>45838</v>
      </c>
      <c r="O45" s="147" t="s">
        <v>239</v>
      </c>
    </row>
    <row r="46" spans="2:15" ht="14.25" customHeight="1" x14ac:dyDescent="0.35">
      <c r="B46" s="24"/>
      <c r="C46" s="24"/>
      <c r="D46" s="24"/>
      <c r="E46" s="23" t="str">
        <f>CONCATENATE("If the Fund was wound up during the ",finyear," year - what date did it cease on? ")</f>
        <v xml:space="preserve">If the Fund was wound up during the 2024/25 year - what date did it cease on? </v>
      </c>
      <c r="F46" s="163"/>
      <c r="G46" s="78" t="str">
        <f>TEXT(yrend,"DD/MM/YYYY")</f>
        <v>30/06/2025</v>
      </c>
      <c r="H46" s="164" t="s">
        <v>30</v>
      </c>
      <c r="I46" s="22">
        <f>IF(finyear&lt;&gt;"",DATE(LEFT(finyear,4),7,1),DATE(2020,7,1))</f>
        <v>45474</v>
      </c>
      <c r="J46" s="25"/>
      <c r="O46" s="147" t="s">
        <v>238</v>
      </c>
    </row>
    <row r="47" spans="2:15" ht="15" customHeight="1" x14ac:dyDescent="0.35">
      <c r="G47" s="214" t="str">
        <f>IF(H46="Yes","Do not include the values of any segregated assets in this form.","")</f>
        <v/>
      </c>
      <c r="H47" s="214"/>
      <c r="I47" s="214"/>
      <c r="J47" s="214"/>
      <c r="O47" s="147" t="s">
        <v>240</v>
      </c>
    </row>
    <row r="48" spans="2:15" ht="18" hidden="1" customHeight="1" x14ac:dyDescent="0.35">
      <c r="B48" s="274" t="s">
        <v>153</v>
      </c>
      <c r="C48" s="274"/>
      <c r="D48" s="274"/>
      <c r="E48" s="274"/>
      <c r="F48" s="274"/>
      <c r="G48" s="274"/>
      <c r="H48" s="274"/>
      <c r="I48" s="274"/>
      <c r="J48" s="274"/>
      <c r="O48" s="147" t="s">
        <v>241</v>
      </c>
    </row>
    <row r="49" spans="2:15" ht="12" hidden="1" customHeight="1" x14ac:dyDescent="0.35">
      <c r="O49" s="147" t="s">
        <v>242</v>
      </c>
    </row>
    <row r="50" spans="2:15" ht="15" hidden="1" customHeight="1" x14ac:dyDescent="0.35">
      <c r="G50" s="68"/>
      <c r="H50" s="75" t="s">
        <v>181</v>
      </c>
      <c r="I50" s="118" t="s">
        <v>30</v>
      </c>
      <c r="O50" s="147" t="s">
        <v>243</v>
      </c>
    </row>
    <row r="51" spans="2:15" ht="18" hidden="1" customHeight="1" x14ac:dyDescent="0.35">
      <c r="B51" s="74" t="str">
        <f>IF(I50="Yes"," Please complete the following and provide copies of the most recent Benefit Certificate and Funding and Solvency Certificate for the Fund:","")</f>
        <v/>
      </c>
      <c r="G51" s="68"/>
      <c r="H51" s="68"/>
      <c r="I51" s="68"/>
      <c r="J51" s="68"/>
      <c r="O51" s="147" t="s">
        <v>244</v>
      </c>
    </row>
    <row r="52" spans="2:15" ht="15" hidden="1" customHeight="1" x14ac:dyDescent="0.35">
      <c r="G52" s="75" t="str">
        <f>IF(I50="Yes",CONCATENATE("Total accumulated value of SG Contributions (for all members in accumulation phase) at ",txtenddate,": "),"If no Super Guarantee balances then leave this field empty")</f>
        <v>If no Super Guarantee balances then leave this field empty</v>
      </c>
      <c r="H52" s="119">
        <v>0</v>
      </c>
      <c r="I52" s="68"/>
      <c r="O52" s="147" t="s">
        <v>247</v>
      </c>
    </row>
    <row r="53" spans="2:15" ht="15" hidden="1" customHeight="1" x14ac:dyDescent="0.35">
      <c r="G53" s="75" t="str">
        <f>IF(I50="Yes","Copy of most recent Funding and Solvency Certificate attached? ","If no Super Guarantee balances then leave this field empty")</f>
        <v>If no Super Guarantee balances then leave this field empty</v>
      </c>
      <c r="H53" s="118"/>
      <c r="I53" s="68"/>
      <c r="J53" s="68"/>
      <c r="O53" s="147" t="s">
        <v>248</v>
      </c>
    </row>
    <row r="54" spans="2:15" ht="15" hidden="1" customHeight="1" x14ac:dyDescent="0.35">
      <c r="G54" s="68"/>
      <c r="H54" s="68"/>
      <c r="I54" s="68"/>
      <c r="J54" s="68"/>
      <c r="O54" s="52" t="s">
        <v>257</v>
      </c>
    </row>
    <row r="55" spans="2:15" ht="18" customHeight="1" x14ac:dyDescent="0.35">
      <c r="B55" s="216" t="s">
        <v>166</v>
      </c>
      <c r="C55" s="216"/>
      <c r="D55" s="216"/>
      <c r="E55" s="216"/>
      <c r="F55" s="216"/>
      <c r="G55" s="216"/>
      <c r="H55" s="216"/>
      <c r="I55" s="216"/>
      <c r="J55" s="216"/>
    </row>
    <row r="56" spans="2:15" ht="15" customHeight="1" x14ac:dyDescent="0.35">
      <c r="G56" s="68"/>
      <c r="H56" s="275" t="s">
        <v>164</v>
      </c>
      <c r="I56" s="275"/>
      <c r="J56" s="275"/>
    </row>
    <row r="57" spans="2:15" ht="15" customHeight="1" x14ac:dyDescent="0.35">
      <c r="B57" t="s">
        <v>165</v>
      </c>
      <c r="G57" s="68"/>
      <c r="H57" s="145" t="s">
        <v>154</v>
      </c>
      <c r="I57" s="272" t="s">
        <v>159</v>
      </c>
      <c r="J57" s="273"/>
    </row>
    <row r="58" spans="2:15" ht="15" customHeight="1" x14ac:dyDescent="0.35">
      <c r="G58" s="68"/>
      <c r="H58" s="145" t="s">
        <v>155</v>
      </c>
      <c r="I58" s="272" t="s">
        <v>160</v>
      </c>
      <c r="J58" s="273"/>
    </row>
    <row r="59" spans="2:15" ht="15" customHeight="1" x14ac:dyDescent="0.35">
      <c r="C59" s="128" t="str">
        <f>IF(D$35&lt;&gt;"",D$35,D$34)</f>
        <v>Member 1</v>
      </c>
      <c r="D59" s="128" t="str">
        <f>IF(E$35&lt;&gt;"",E$35,E$34)</f>
        <v>Member 2</v>
      </c>
      <c r="E59" s="128" t="str">
        <f>IF(F$35&lt;&gt;"",F$35,F$34)</f>
        <v>Member 3</v>
      </c>
      <c r="F59" s="128" t="str">
        <f>IF(G$35&lt;&gt;"",G$35,G$34)</f>
        <v>Member 4</v>
      </c>
      <c r="G59" s="68"/>
      <c r="H59" s="145" t="s">
        <v>156</v>
      </c>
      <c r="I59" s="272" t="s">
        <v>161</v>
      </c>
      <c r="J59" s="273"/>
    </row>
    <row r="60" spans="2:15" ht="15" customHeight="1" x14ac:dyDescent="0.35">
      <c r="C60" s="203"/>
      <c r="D60" s="203"/>
      <c r="E60" s="203"/>
      <c r="F60" s="203"/>
      <c r="G60" s="68"/>
      <c r="H60" s="145" t="s">
        <v>157</v>
      </c>
      <c r="I60" s="272" t="s">
        <v>162</v>
      </c>
      <c r="J60" s="273"/>
    </row>
    <row r="61" spans="2:15" ht="15" customHeight="1" x14ac:dyDescent="0.35">
      <c r="C61" s="203"/>
      <c r="D61" s="203"/>
      <c r="E61" s="203"/>
      <c r="F61" s="203"/>
      <c r="G61" s="68"/>
      <c r="H61" s="145" t="s">
        <v>158</v>
      </c>
      <c r="I61" s="272" t="s">
        <v>163</v>
      </c>
      <c r="J61" s="273"/>
    </row>
    <row r="62" spans="2:15" ht="8.15" customHeight="1" x14ac:dyDescent="0.35">
      <c r="G62" s="68"/>
      <c r="H62" s="96" t="s">
        <v>185</v>
      </c>
      <c r="I62" s="68"/>
      <c r="J62" s="68"/>
    </row>
    <row r="63" spans="2:15" ht="15" customHeight="1" x14ac:dyDescent="0.35">
      <c r="F63" s="75" t="s">
        <v>182</v>
      </c>
      <c r="G63" s="165" t="s">
        <v>180</v>
      </c>
      <c r="J63" s="68"/>
    </row>
    <row r="64" spans="2:15" ht="8.15" customHeight="1" x14ac:dyDescent="0.35">
      <c r="G64" s="68"/>
      <c r="H64" s="68"/>
      <c r="I64" s="68"/>
      <c r="J64" s="68"/>
    </row>
    <row r="65" spans="2:12" ht="18" customHeight="1" x14ac:dyDescent="0.35">
      <c r="B65" s="216" t="s">
        <v>130</v>
      </c>
      <c r="C65" s="216"/>
      <c r="D65" s="216"/>
      <c r="E65" s="216"/>
      <c r="F65" s="216"/>
      <c r="G65" s="216"/>
      <c r="H65" s="216"/>
      <c r="I65" s="216"/>
      <c r="J65" s="216"/>
    </row>
    <row r="66" spans="2:12" ht="15" customHeight="1" x14ac:dyDescent="0.35">
      <c r="C66" s="6" t="s">
        <v>131</v>
      </c>
      <c r="D66" s="6" t="s">
        <v>132</v>
      </c>
      <c r="E66" s="6" t="s">
        <v>133</v>
      </c>
      <c r="F66" s="6" t="s">
        <v>134</v>
      </c>
      <c r="G66" s="6" t="s">
        <v>135</v>
      </c>
      <c r="H66" s="6" t="s">
        <v>136</v>
      </c>
      <c r="J66" s="73" t="s">
        <v>152</v>
      </c>
    </row>
    <row r="67" spans="2:12" ht="15" customHeight="1" x14ac:dyDescent="0.35">
      <c r="B67" s="133" t="s">
        <v>235</v>
      </c>
      <c r="C67" s="166"/>
      <c r="D67" s="166"/>
      <c r="E67" s="166"/>
      <c r="F67" s="166"/>
      <c r="G67" s="166"/>
      <c r="H67" s="166"/>
      <c r="J67" s="183" t="s">
        <v>25</v>
      </c>
    </row>
    <row r="68" spans="2:12" ht="15" customHeight="1" x14ac:dyDescent="0.35">
      <c r="B68" t="s">
        <v>137</v>
      </c>
      <c r="C68" s="162"/>
      <c r="D68" s="162"/>
      <c r="E68" s="162"/>
      <c r="F68" s="162"/>
      <c r="G68" s="162"/>
      <c r="H68" s="162"/>
      <c r="J68" s="88">
        <v>38169</v>
      </c>
      <c r="L68" s="72" t="s">
        <v>25</v>
      </c>
    </row>
    <row r="69" spans="2:12" ht="15" customHeight="1" x14ac:dyDescent="0.35">
      <c r="B69" t="s">
        <v>138</v>
      </c>
      <c r="C69" s="162"/>
      <c r="D69" s="162"/>
      <c r="E69" s="162"/>
      <c r="F69" s="162"/>
      <c r="G69" s="162"/>
      <c r="H69" s="162"/>
      <c r="J69" s="88"/>
      <c r="L69" s="72" t="s">
        <v>26</v>
      </c>
    </row>
    <row r="70" spans="2:12" ht="15" customHeight="1" x14ac:dyDescent="0.35">
      <c r="B70" t="s">
        <v>149</v>
      </c>
      <c r="C70" s="159"/>
      <c r="D70" s="159"/>
      <c r="E70" s="159"/>
      <c r="F70" s="159"/>
      <c r="G70" s="159"/>
      <c r="H70" s="159"/>
      <c r="J70" s="89" t="s">
        <v>147</v>
      </c>
      <c r="L70" s="72" t="s">
        <v>27</v>
      </c>
    </row>
    <row r="71" spans="2:12" ht="15" customHeight="1" x14ac:dyDescent="0.35">
      <c r="B71" s="271" t="s">
        <v>150</v>
      </c>
      <c r="C71" s="204"/>
      <c r="D71" s="204"/>
      <c r="E71" s="204"/>
      <c r="F71" s="204"/>
      <c r="G71" s="204"/>
      <c r="H71" s="204"/>
      <c r="J71" s="217" t="s">
        <v>151</v>
      </c>
      <c r="L71" s="72" t="s">
        <v>28</v>
      </c>
    </row>
    <row r="72" spans="2:12" ht="15" customHeight="1" x14ac:dyDescent="0.35">
      <c r="B72" s="271"/>
      <c r="C72" s="204"/>
      <c r="D72" s="204"/>
      <c r="E72" s="204"/>
      <c r="F72" s="204"/>
      <c r="G72" s="204"/>
      <c r="H72" s="204"/>
      <c r="J72" s="217"/>
    </row>
    <row r="73" spans="2:12" ht="15" customHeight="1" x14ac:dyDescent="0.35">
      <c r="B73" t="s">
        <v>139</v>
      </c>
      <c r="C73" s="167"/>
      <c r="D73" s="167"/>
      <c r="E73" s="167"/>
      <c r="F73" s="167"/>
      <c r="G73" s="167"/>
      <c r="H73" s="167"/>
      <c r="J73" s="90">
        <f>24000*1.04*1.04</f>
        <v>25958.400000000001</v>
      </c>
    </row>
    <row r="74" spans="2:12" ht="15" customHeight="1" x14ac:dyDescent="0.35">
      <c r="B74" t="s">
        <v>140</v>
      </c>
      <c r="C74" s="168"/>
      <c r="D74" s="168"/>
      <c r="E74" s="168"/>
      <c r="F74" s="168"/>
      <c r="G74" s="168"/>
      <c r="H74" s="168"/>
      <c r="J74" s="91">
        <v>0.04</v>
      </c>
    </row>
    <row r="75" spans="2:12" ht="15" customHeight="1" x14ac:dyDescent="0.35">
      <c r="B75" t="s">
        <v>146</v>
      </c>
      <c r="C75" s="164"/>
      <c r="D75" s="164"/>
      <c r="E75" s="164"/>
      <c r="F75" s="164"/>
      <c r="G75" s="164"/>
      <c r="H75" s="164"/>
      <c r="J75" s="92" t="s">
        <v>30</v>
      </c>
    </row>
    <row r="76" spans="2:12" ht="15" customHeight="1" x14ac:dyDescent="0.35">
      <c r="B76" s="218" t="s">
        <v>141</v>
      </c>
      <c r="C76" s="204"/>
      <c r="D76" s="204"/>
      <c r="E76" s="215"/>
      <c r="F76" s="204"/>
      <c r="G76" s="204"/>
      <c r="H76" s="204"/>
      <c r="J76" s="217" t="s">
        <v>148</v>
      </c>
    </row>
    <row r="77" spans="2:12" ht="15" customHeight="1" x14ac:dyDescent="0.35">
      <c r="B77" s="218"/>
      <c r="C77" s="204"/>
      <c r="D77" s="204"/>
      <c r="E77" s="204"/>
      <c r="F77" s="204"/>
      <c r="G77" s="204"/>
      <c r="H77" s="204"/>
      <c r="J77" s="217"/>
    </row>
    <row r="78" spans="2:12" ht="15" customHeight="1" x14ac:dyDescent="0.35">
      <c r="B78" t="s">
        <v>142</v>
      </c>
      <c r="C78" s="169"/>
      <c r="D78" s="169"/>
      <c r="E78" s="169"/>
      <c r="F78" s="169"/>
      <c r="G78" s="169"/>
      <c r="H78" s="169"/>
      <c r="J78" s="93">
        <v>0.75</v>
      </c>
    </row>
    <row r="79" spans="2:12" ht="15" customHeight="1" x14ac:dyDescent="0.35">
      <c r="B79" t="s">
        <v>143</v>
      </c>
      <c r="C79" s="170"/>
      <c r="D79" s="170"/>
      <c r="E79" s="170"/>
      <c r="F79" s="170"/>
      <c r="G79" s="170"/>
      <c r="H79" s="170"/>
      <c r="J79" s="88">
        <v>13667</v>
      </c>
    </row>
    <row r="80" spans="2:12" ht="15" customHeight="1" x14ac:dyDescent="0.35">
      <c r="B80" t="s">
        <v>144</v>
      </c>
      <c r="C80" s="162"/>
      <c r="D80" s="162"/>
      <c r="E80" s="162"/>
      <c r="F80" s="162"/>
      <c r="G80" s="162"/>
      <c r="H80" s="162"/>
      <c r="J80" s="88" t="s">
        <v>121</v>
      </c>
    </row>
    <row r="81" spans="2:10" ht="15" customHeight="1" x14ac:dyDescent="0.35">
      <c r="B81" t="s">
        <v>145</v>
      </c>
      <c r="C81" s="171"/>
      <c r="D81" s="171"/>
      <c r="E81" s="171"/>
      <c r="F81" s="171"/>
      <c r="G81" s="171"/>
      <c r="H81" s="171"/>
      <c r="J81" s="94">
        <v>0</v>
      </c>
    </row>
    <row r="82" spans="2:10" ht="8.15" customHeight="1" x14ac:dyDescent="0.35">
      <c r="G82" s="68"/>
      <c r="H82" s="68"/>
      <c r="I82" s="68"/>
      <c r="J82" s="68"/>
    </row>
    <row r="83" spans="2:10" ht="18" hidden="1" customHeight="1" x14ac:dyDescent="0.35">
      <c r="B83" s="266" t="s">
        <v>118</v>
      </c>
      <c r="C83" s="266"/>
      <c r="D83" s="266"/>
      <c r="E83" s="266"/>
      <c r="F83" s="266"/>
      <c r="G83" s="266"/>
      <c r="H83" s="266"/>
      <c r="I83" s="266"/>
      <c r="J83" s="266"/>
    </row>
    <row r="84" spans="2:10" ht="12" hidden="1" customHeight="1" x14ac:dyDescent="0.35"/>
    <row r="85" spans="2:10" ht="21" hidden="1" customHeight="1" x14ac:dyDescent="0.35">
      <c r="C85" s="211" t="str">
        <f>CONCATENATE("Accumulation (Non-Pension) Account Balances at ",txtstdate)</f>
        <v>Accumulation (Non-Pension) Account Balances at 01/07/2024</v>
      </c>
      <c r="D85" s="211"/>
      <c r="E85" s="211"/>
      <c r="F85" s="211"/>
      <c r="G85" s="211"/>
      <c r="H85" s="211"/>
      <c r="I85" s="62"/>
      <c r="J85" s="62"/>
    </row>
    <row r="86" spans="2:10" ht="15.75" hidden="1" customHeight="1" x14ac:dyDescent="0.35">
      <c r="B86" s="29"/>
      <c r="C86" s="30"/>
      <c r="D86" s="61" t="str">
        <f>IF(D$35&lt;&gt;"",D$35,D$34)</f>
        <v>Member 1</v>
      </c>
      <c r="E86" s="61" t="str">
        <f>IF(E$35&lt;&gt;"",E$35,E$34)</f>
        <v>Member 2</v>
      </c>
      <c r="F86" s="61" t="str">
        <f>IF(F$35&lt;&gt;"",F$35,F$34)</f>
        <v>Member 3</v>
      </c>
      <c r="G86" s="61" t="str">
        <f>IF(G$35&lt;&gt;"",G$35,G$34)</f>
        <v>Member 4</v>
      </c>
      <c r="H86" s="61" t="s">
        <v>29</v>
      </c>
    </row>
    <row r="87" spans="2:10" hidden="1" x14ac:dyDescent="0.35">
      <c r="B87" s="267" t="str">
        <f>CONCATENATE("Non-Pension Balances at ",txtstdate," ")</f>
        <v xml:space="preserve">Non-Pension Balances at 01/07/2024 </v>
      </c>
      <c r="C87" s="267"/>
      <c r="D87" s="63"/>
      <c r="E87" s="63"/>
      <c r="F87" s="63"/>
      <c r="G87" s="63"/>
      <c r="H87" s="63"/>
    </row>
    <row r="88" spans="2:10" ht="12" hidden="1" customHeight="1" x14ac:dyDescent="0.35"/>
    <row r="89" spans="2:10" ht="21" hidden="1" customHeight="1" x14ac:dyDescent="0.35">
      <c r="C89" s="211" t="str">
        <f>CONCATENATE("Defined Benefit Pension Balances at ",txtstdate)</f>
        <v>Defined Benefit Pension Balances at 01/07/2024</v>
      </c>
      <c r="D89" s="211"/>
      <c r="E89" s="211"/>
      <c r="F89" s="211"/>
      <c r="G89" s="211"/>
      <c r="H89" s="211"/>
      <c r="I89" s="270" t="s">
        <v>127</v>
      </c>
      <c r="J89" s="270"/>
    </row>
    <row r="90" spans="2:10" ht="15.75" hidden="1" customHeight="1" x14ac:dyDescent="0.35">
      <c r="B90" s="212"/>
      <c r="C90" s="212"/>
      <c r="D90" s="61" t="str">
        <f>IF(D$35&lt;&gt;"",D$35,D$34)</f>
        <v>Member 1</v>
      </c>
      <c r="E90" s="61" t="str">
        <f>IF(E$35&lt;&gt;"",E$35,E$34)</f>
        <v>Member 2</v>
      </c>
      <c r="F90" s="61" t="str">
        <f>IF(F$35&lt;&gt;"",F$35,F$34)</f>
        <v>Member 3</v>
      </c>
      <c r="G90" s="61" t="str">
        <f>IF(G$35&lt;&gt;"",G$35,G$34)</f>
        <v>Member 4</v>
      </c>
      <c r="H90" s="61" t="s">
        <v>122</v>
      </c>
      <c r="I90" s="270"/>
      <c r="J90" s="270"/>
    </row>
    <row r="91" spans="2:10" ht="15" hidden="1" customHeight="1" x14ac:dyDescent="0.35">
      <c r="B91" s="213" t="str">
        <f>CONCATENATE("DBP Balances at ",txtstdate," ")</f>
        <v xml:space="preserve">DBP Balances at 01/07/2024 </v>
      </c>
      <c r="C91" s="213"/>
      <c r="D91" s="65"/>
      <c r="E91" s="65"/>
      <c r="F91" s="65"/>
      <c r="G91" s="65"/>
      <c r="H91" s="63"/>
      <c r="I91" s="270"/>
      <c r="J91" s="270"/>
    </row>
    <row r="92" spans="2:10" ht="12" hidden="1" customHeight="1" x14ac:dyDescent="0.35"/>
    <row r="93" spans="2:10" ht="21" hidden="1" customHeight="1" x14ac:dyDescent="0.35">
      <c r="C93" s="211" t="str">
        <f>CONCATENATE("Account-Based Pension  Accounts that started on or before ",txtstdate)</f>
        <v>Account-Based Pension  Accounts that started on or before 01/07/2024</v>
      </c>
      <c r="D93" s="211"/>
      <c r="E93" s="211"/>
      <c r="F93" s="211"/>
      <c r="G93" s="211"/>
      <c r="H93" s="211"/>
      <c r="I93" s="64"/>
      <c r="J93" s="64"/>
    </row>
    <row r="94" spans="2:10" ht="15.75" hidden="1" customHeight="1" x14ac:dyDescent="0.35">
      <c r="B94" s="212"/>
      <c r="C94" s="212"/>
      <c r="D94" s="61" t="str">
        <f>IF(D$35&lt;&gt;"",D$35,D$34)</f>
        <v>Member 1</v>
      </c>
      <c r="E94" s="61" t="str">
        <f>IF(E$35&lt;&gt;"",E$35,E$34)</f>
        <v>Member 2</v>
      </c>
      <c r="F94" s="61" t="str">
        <f>IF(F$35&lt;&gt;"",F$35,F$34)</f>
        <v>Member 3</v>
      </c>
      <c r="G94" s="61" t="str">
        <f>IF(G$35&lt;&gt;"",G$35,G$34)</f>
        <v>Member 4</v>
      </c>
      <c r="H94" s="61"/>
      <c r="I94" s="263" t="str">
        <f>CONCATENATE("Check Fund Balance at ",txtstdate," ")</f>
        <v xml:space="preserve">Check Fund Balance at 01/07/2024 </v>
      </c>
      <c r="J94" s="263"/>
    </row>
    <row r="95" spans="2:10" hidden="1" x14ac:dyDescent="0.35">
      <c r="B95" s="213" t="str">
        <f>CONCATENATE("ABP Balances at ",txtstdate," ")</f>
        <v xml:space="preserve">ABP Balances at 01/07/2024 </v>
      </c>
      <c r="C95" s="213"/>
      <c r="D95" s="65"/>
      <c r="E95" s="65"/>
      <c r="F95" s="65"/>
      <c r="G95" s="65"/>
      <c r="H95" s="32"/>
      <c r="I95" s="263"/>
      <c r="J95" s="263"/>
    </row>
    <row r="96" spans="2:10" hidden="1" x14ac:dyDescent="0.35">
      <c r="B96" s="241" t="str">
        <f>CONCATENATE("Total Member Balances at ",txtstdate," ")</f>
        <v xml:space="preserve">Total Member Balances at 01/07/2024 </v>
      </c>
      <c r="C96" s="241"/>
      <c r="D96" s="33">
        <f>m1accum+m1dpens+m1pens</f>
        <v>0</v>
      </c>
      <c r="E96" s="33">
        <f>m2accum++m2dpens+m2pens</f>
        <v>0</v>
      </c>
      <c r="F96" s="33">
        <f>m3accum+m3dpens+m3pens</f>
        <v>0</v>
      </c>
      <c r="G96" s="33">
        <f>m4accum+m4dpens+m4pens</f>
        <v>0</v>
      </c>
      <c r="H96" s="33">
        <f>res</f>
        <v>0</v>
      </c>
      <c r="I96" s="31"/>
      <c r="J96" s="33">
        <f>SUM(D96:H96)</f>
        <v>0</v>
      </c>
    </row>
    <row r="97" spans="2:19" ht="5.15" hidden="1" customHeight="1" x14ac:dyDescent="0.35"/>
    <row r="98" spans="2:19" ht="18" customHeight="1" x14ac:dyDescent="0.35">
      <c r="B98" s="216" t="s">
        <v>41</v>
      </c>
      <c r="C98" s="216"/>
      <c r="D98" s="216"/>
      <c r="E98" s="216"/>
      <c r="F98" s="216"/>
      <c r="G98" s="216"/>
      <c r="H98" s="216"/>
      <c r="I98" s="216"/>
      <c r="J98" s="216"/>
    </row>
    <row r="99" spans="2:19" ht="13.5" customHeight="1" x14ac:dyDescent="0.35">
      <c r="B99" s="34"/>
      <c r="C99" s="34"/>
      <c r="D99" s="34"/>
      <c r="E99" s="34"/>
      <c r="F99" s="34"/>
      <c r="G99" s="34"/>
      <c r="H99" s="268" t="s">
        <v>42</v>
      </c>
      <c r="I99" s="268"/>
      <c r="J99" s="268" t="s">
        <v>102</v>
      </c>
      <c r="R99" s="6" t="s">
        <v>191</v>
      </c>
      <c r="S99" t="s">
        <v>236</v>
      </c>
    </row>
    <row r="100" spans="2:19" ht="13.5" customHeight="1" x14ac:dyDescent="0.35">
      <c r="B100" s="262" t="s">
        <v>43</v>
      </c>
      <c r="C100" s="262"/>
      <c r="D100" s="35" t="s">
        <v>44</v>
      </c>
      <c r="E100" s="35" t="s">
        <v>45</v>
      </c>
      <c r="F100" s="35" t="s">
        <v>46</v>
      </c>
      <c r="G100" s="35" t="s">
        <v>47</v>
      </c>
      <c r="H100" s="269"/>
      <c r="I100" s="269"/>
      <c r="J100" s="269"/>
      <c r="K100" s="54" t="s">
        <v>103</v>
      </c>
      <c r="L100" s="55" t="s">
        <v>104</v>
      </c>
      <c r="M100" s="52" t="s">
        <v>108</v>
      </c>
      <c r="N100" s="52" t="s">
        <v>109</v>
      </c>
      <c r="O100" s="52" t="s">
        <v>110</v>
      </c>
      <c r="P100" s="52" t="s">
        <v>111</v>
      </c>
      <c r="Q100" s="52" t="s">
        <v>112</v>
      </c>
      <c r="R100" s="6" t="s">
        <v>192</v>
      </c>
      <c r="S100" s="52" t="s">
        <v>237</v>
      </c>
    </row>
    <row r="101" spans="2:19" ht="13.5" customHeight="1" x14ac:dyDescent="0.35">
      <c r="B101" s="242"/>
      <c r="C101" s="243"/>
      <c r="D101" s="172"/>
      <c r="E101" s="173"/>
      <c r="F101" s="173"/>
      <c r="G101" s="174"/>
      <c r="H101" s="236"/>
      <c r="I101" s="237"/>
      <c r="J101" s="174"/>
      <c r="K101" s="142">
        <f t="shared" ref="K101:K110" si="0">IF(OR(AND(H101="No",J101&lt;1),AND(L101&gt;0,L101&lt;6)),1,0)</f>
        <v>0</v>
      </c>
      <c r="L101" s="143">
        <f>COUNTBLANK(B101)+COUNTBLANK(D101:G101)+COUNTBLANK(H101)</f>
        <v>6</v>
      </c>
      <c r="M101" s="143">
        <f>IF(LEFT(B101,5)="Start",IF(AND(RIGHT(F101,4)="Pens",RIGHT(E101,5)="Accum",MID(E101,4,1)=MID(F101,4,1)),0,1),0)</f>
        <v>0</v>
      </c>
      <c r="N101" s="143">
        <f>IF(LEFT(B101,5)="Cease",IF(OR(AND(RIGHT(E101,7)="Pension",RIGHT(F101,5)="Accum",MID(E101,4,1)=MID(F101,4,1)),MID(E101,4,7)="Pension"),0,1),0)</f>
        <v>0</v>
      </c>
      <c r="O101" s="143">
        <f>IF(LEFT(B101,4)="Cont",IF(AND(RIGHT(E101,5)="Accum",RIGHT(F101,5)="Accum",MID(E101,4,1)&lt;&gt;MID(F101,4,1)),0,1),0)</f>
        <v>0</v>
      </c>
      <c r="P101" s="143">
        <f>IF(LEFT(B101,5)="Alloc",IF(AND(OR(LEFT(E101,3)="Res",LEFT(F101,3)="Res"),E101&lt;&gt;F101),0,1),0)</f>
        <v>0</v>
      </c>
      <c r="Q101" s="143">
        <f>IF(LEFT(B101,5)="Combi",IF(AND(RIGHT(F101,7)="Pension",RIGHT(E101,5)="Accum",MID(E101,4,1)=MID(F101,4,1)),0,1),0)</f>
        <v>0</v>
      </c>
      <c r="R101" s="144">
        <f>IF(LEFT(B101,2)="Ce",1,0)</f>
        <v>0</v>
      </c>
      <c r="S101" s="144" t="str">
        <f ca="1">IF(AND(LEFT(B101,5)="Cease",LEFT(E101,3)="DB "),RIGHT(OFFSET($B$67,0,RIGHT(E101,1)),1),"")</f>
        <v/>
      </c>
    </row>
    <row r="102" spans="2:19" ht="13.5" customHeight="1" x14ac:dyDescent="0.35">
      <c r="B102" s="242"/>
      <c r="C102" s="243"/>
      <c r="D102" s="172"/>
      <c r="E102" s="173"/>
      <c r="F102" s="173"/>
      <c r="G102" s="174"/>
      <c r="H102" s="236"/>
      <c r="I102" s="237"/>
      <c r="J102" s="174"/>
      <c r="K102" s="142">
        <f t="shared" si="0"/>
        <v>0</v>
      </c>
      <c r="L102" s="143">
        <f t="shared" ref="L102:L110" si="1">COUNTBLANK(B102)+COUNTBLANK(D102:G102)+COUNTBLANK(H102)</f>
        <v>6</v>
      </c>
      <c r="M102" s="143">
        <f t="shared" ref="M102:M110" si="2">IF(LEFT(B102,5)="Start",IF(AND(RIGHT(F102,4)="Pens",RIGHT(E102,5)="Accum",MID(E102,4,1)=MID(F102,4,1)),0,1),0)</f>
        <v>0</v>
      </c>
      <c r="N102" s="143">
        <f t="shared" ref="N102:N110" si="3">IF(LEFT(B102,5)="Cease",IF(OR(AND(RIGHT(E102,7)="Pension",RIGHT(F102,5)="Accum",MID(E102,4,1)=MID(F102,4,1)),MID(E102,4,7)="Pension"),0,1),0)</f>
        <v>0</v>
      </c>
      <c r="O102" s="143">
        <f t="shared" ref="O102:O110" si="4">IF(LEFT(B102,4)="Cont",IF(AND(RIGHT(E102,5)="Accum",RIGHT(F102,5)="Accum",MID(E102,4,1)&lt;&gt;MID(F102,4,1)),0,1),0)</f>
        <v>0</v>
      </c>
      <c r="P102" s="143">
        <f t="shared" ref="P102:P110" si="5">IF(LEFT(B102,5)="Alloc",IF(AND(OR(LEFT(E102,3)="Res",LEFT(F102,3)="Res"),E102&lt;&gt;F102),0,1),0)</f>
        <v>0</v>
      </c>
      <c r="Q102" s="143">
        <f t="shared" ref="Q102:Q110" si="6">IF(LEFT(B102,5)="Combi",IF(AND(RIGHT(F102,7)="Pension",RIGHT(E102,5)="Accum",MID(E102,4,1)=MID(F102,4,1)),0,1),0)</f>
        <v>0</v>
      </c>
      <c r="R102" s="144">
        <f t="shared" ref="R102:R110" si="7">IF(LEFT(B102,2)="Ce",1,0)</f>
        <v>0</v>
      </c>
      <c r="S102" s="144" t="str">
        <f t="shared" ref="S102:S110" ca="1" si="8">IF(AND(LEFT(B102,5)="Cease",LEFT(E102,3)="DB "),RIGHT(OFFSET($B$67,0,RIGHT(E102,1)),1),"")</f>
        <v/>
      </c>
    </row>
    <row r="103" spans="2:19" ht="13.5" customHeight="1" x14ac:dyDescent="0.35">
      <c r="B103" s="276"/>
      <c r="C103" s="243"/>
      <c r="D103" s="172"/>
      <c r="E103" s="173"/>
      <c r="F103" s="173"/>
      <c r="G103" s="174"/>
      <c r="H103" s="236"/>
      <c r="I103" s="237"/>
      <c r="J103" s="174"/>
      <c r="K103" s="142">
        <f t="shared" si="0"/>
        <v>0</v>
      </c>
      <c r="L103" s="143">
        <f t="shared" si="1"/>
        <v>6</v>
      </c>
      <c r="M103" s="143">
        <f t="shared" si="2"/>
        <v>0</v>
      </c>
      <c r="N103" s="143">
        <f t="shared" si="3"/>
        <v>0</v>
      </c>
      <c r="O103" s="143">
        <f t="shared" si="4"/>
        <v>0</v>
      </c>
      <c r="P103" s="143">
        <f t="shared" si="5"/>
        <v>0</v>
      </c>
      <c r="Q103" s="143">
        <f t="shared" si="6"/>
        <v>0</v>
      </c>
      <c r="R103" s="144">
        <f t="shared" si="7"/>
        <v>0</v>
      </c>
      <c r="S103" s="144" t="str">
        <f t="shared" ca="1" si="8"/>
        <v/>
      </c>
    </row>
    <row r="104" spans="2:19" ht="13.5" customHeight="1" x14ac:dyDescent="0.35">
      <c r="B104" s="276"/>
      <c r="C104" s="243"/>
      <c r="D104" s="172"/>
      <c r="E104" s="173"/>
      <c r="F104" s="173"/>
      <c r="G104" s="174"/>
      <c r="H104" s="236"/>
      <c r="I104" s="237"/>
      <c r="J104" s="174"/>
      <c r="K104" s="142">
        <f t="shared" si="0"/>
        <v>0</v>
      </c>
      <c r="L104" s="143">
        <f t="shared" si="1"/>
        <v>6</v>
      </c>
      <c r="M104" s="143">
        <f t="shared" si="2"/>
        <v>0</v>
      </c>
      <c r="N104" s="143">
        <f t="shared" si="3"/>
        <v>0</v>
      </c>
      <c r="O104" s="143">
        <f t="shared" si="4"/>
        <v>0</v>
      </c>
      <c r="P104" s="143">
        <f t="shared" si="5"/>
        <v>0</v>
      </c>
      <c r="Q104" s="143">
        <f t="shared" si="6"/>
        <v>0</v>
      </c>
      <c r="R104" s="144">
        <f t="shared" si="7"/>
        <v>0</v>
      </c>
      <c r="S104" s="144" t="str">
        <f t="shared" ca="1" si="8"/>
        <v/>
      </c>
    </row>
    <row r="105" spans="2:19" ht="13.5" customHeight="1" x14ac:dyDescent="0.35">
      <c r="B105" s="242"/>
      <c r="C105" s="243"/>
      <c r="D105" s="173"/>
      <c r="E105" s="173"/>
      <c r="F105" s="173"/>
      <c r="G105" s="174"/>
      <c r="H105" s="236"/>
      <c r="I105" s="237"/>
      <c r="J105" s="174"/>
      <c r="K105" s="142">
        <f t="shared" si="0"/>
        <v>0</v>
      </c>
      <c r="L105" s="143">
        <f t="shared" si="1"/>
        <v>6</v>
      </c>
      <c r="M105" s="143">
        <f t="shared" si="2"/>
        <v>0</v>
      </c>
      <c r="N105" s="143">
        <f t="shared" si="3"/>
        <v>0</v>
      </c>
      <c r="O105" s="143">
        <f t="shared" si="4"/>
        <v>0</v>
      </c>
      <c r="P105" s="143">
        <f t="shared" si="5"/>
        <v>0</v>
      </c>
      <c r="Q105" s="143">
        <f t="shared" si="6"/>
        <v>0</v>
      </c>
      <c r="R105" s="144">
        <f t="shared" si="7"/>
        <v>0</v>
      </c>
      <c r="S105" s="144" t="str">
        <f t="shared" ca="1" si="8"/>
        <v/>
      </c>
    </row>
    <row r="106" spans="2:19" ht="13.5" customHeight="1" x14ac:dyDescent="0.35">
      <c r="B106" s="242"/>
      <c r="C106" s="243"/>
      <c r="D106" s="173"/>
      <c r="E106" s="173"/>
      <c r="F106" s="173"/>
      <c r="G106" s="174"/>
      <c r="H106" s="236"/>
      <c r="I106" s="237"/>
      <c r="J106" s="174"/>
      <c r="K106" s="142">
        <f t="shared" si="0"/>
        <v>0</v>
      </c>
      <c r="L106" s="143">
        <f t="shared" si="1"/>
        <v>6</v>
      </c>
      <c r="M106" s="143">
        <f t="shared" si="2"/>
        <v>0</v>
      </c>
      <c r="N106" s="143">
        <f t="shared" si="3"/>
        <v>0</v>
      </c>
      <c r="O106" s="143">
        <f t="shared" si="4"/>
        <v>0</v>
      </c>
      <c r="P106" s="143">
        <f t="shared" si="5"/>
        <v>0</v>
      </c>
      <c r="Q106" s="143">
        <f t="shared" si="6"/>
        <v>0</v>
      </c>
      <c r="R106" s="144">
        <f t="shared" si="7"/>
        <v>0</v>
      </c>
      <c r="S106" s="144" t="str">
        <f t="shared" ca="1" si="8"/>
        <v/>
      </c>
    </row>
    <row r="107" spans="2:19" ht="13.5" customHeight="1" x14ac:dyDescent="0.35">
      <c r="B107" s="242"/>
      <c r="C107" s="243"/>
      <c r="D107" s="173"/>
      <c r="E107" s="173"/>
      <c r="F107" s="173"/>
      <c r="G107" s="174"/>
      <c r="H107" s="236"/>
      <c r="I107" s="237"/>
      <c r="J107" s="174"/>
      <c r="K107" s="142">
        <f t="shared" si="0"/>
        <v>0</v>
      </c>
      <c r="L107" s="143">
        <f t="shared" si="1"/>
        <v>6</v>
      </c>
      <c r="M107" s="143">
        <f t="shared" si="2"/>
        <v>0</v>
      </c>
      <c r="N107" s="143">
        <f t="shared" si="3"/>
        <v>0</v>
      </c>
      <c r="O107" s="143">
        <f t="shared" si="4"/>
        <v>0</v>
      </c>
      <c r="P107" s="143">
        <f t="shared" si="5"/>
        <v>0</v>
      </c>
      <c r="Q107" s="143">
        <f t="shared" si="6"/>
        <v>0</v>
      </c>
      <c r="R107" s="144">
        <f t="shared" si="7"/>
        <v>0</v>
      </c>
      <c r="S107" s="144" t="str">
        <f t="shared" ca="1" si="8"/>
        <v/>
      </c>
    </row>
    <row r="108" spans="2:19" ht="13.5" customHeight="1" x14ac:dyDescent="0.35">
      <c r="B108" s="242"/>
      <c r="C108" s="243"/>
      <c r="D108" s="173"/>
      <c r="E108" s="173"/>
      <c r="F108" s="173"/>
      <c r="G108" s="174"/>
      <c r="H108" s="236"/>
      <c r="I108" s="237"/>
      <c r="J108" s="174"/>
      <c r="K108" s="142">
        <f t="shared" si="0"/>
        <v>0</v>
      </c>
      <c r="L108" s="143">
        <f t="shared" si="1"/>
        <v>6</v>
      </c>
      <c r="M108" s="143">
        <f t="shared" si="2"/>
        <v>0</v>
      </c>
      <c r="N108" s="143">
        <f t="shared" si="3"/>
        <v>0</v>
      </c>
      <c r="O108" s="143">
        <f t="shared" si="4"/>
        <v>0</v>
      </c>
      <c r="P108" s="143">
        <f t="shared" si="5"/>
        <v>0</v>
      </c>
      <c r="Q108" s="143">
        <f t="shared" si="6"/>
        <v>0</v>
      </c>
      <c r="R108" s="144">
        <f t="shared" si="7"/>
        <v>0</v>
      </c>
      <c r="S108" s="144" t="str">
        <f t="shared" ca="1" si="8"/>
        <v/>
      </c>
    </row>
    <row r="109" spans="2:19" ht="13.5" customHeight="1" x14ac:dyDescent="0.35">
      <c r="B109" s="242"/>
      <c r="C109" s="243"/>
      <c r="D109" s="173"/>
      <c r="E109" s="173"/>
      <c r="F109" s="173"/>
      <c r="G109" s="174"/>
      <c r="H109" s="236"/>
      <c r="I109" s="237"/>
      <c r="J109" s="174"/>
      <c r="K109" s="142">
        <f t="shared" si="0"/>
        <v>0</v>
      </c>
      <c r="L109" s="143">
        <f t="shared" si="1"/>
        <v>6</v>
      </c>
      <c r="M109" s="143">
        <f t="shared" si="2"/>
        <v>0</v>
      </c>
      <c r="N109" s="143">
        <f t="shared" si="3"/>
        <v>0</v>
      </c>
      <c r="O109" s="143">
        <f t="shared" si="4"/>
        <v>0</v>
      </c>
      <c r="P109" s="143">
        <f t="shared" si="5"/>
        <v>0</v>
      </c>
      <c r="Q109" s="143">
        <f t="shared" si="6"/>
        <v>0</v>
      </c>
      <c r="R109" s="144">
        <f t="shared" si="7"/>
        <v>0</v>
      </c>
      <c r="S109" s="144" t="str">
        <f t="shared" ca="1" si="8"/>
        <v/>
      </c>
    </row>
    <row r="110" spans="2:19" ht="13.5" customHeight="1" x14ac:dyDescent="0.35">
      <c r="B110" s="242"/>
      <c r="C110" s="243"/>
      <c r="D110" s="173"/>
      <c r="E110" s="173"/>
      <c r="F110" s="173"/>
      <c r="G110" s="174"/>
      <c r="H110" s="236"/>
      <c r="I110" s="237"/>
      <c r="J110" s="174"/>
      <c r="K110" s="142">
        <f t="shared" si="0"/>
        <v>0</v>
      </c>
      <c r="L110" s="143">
        <f t="shared" si="1"/>
        <v>6</v>
      </c>
      <c r="M110" s="143">
        <f t="shared" si="2"/>
        <v>0</v>
      </c>
      <c r="N110" s="143">
        <f t="shared" si="3"/>
        <v>0</v>
      </c>
      <c r="O110" s="143">
        <f t="shared" si="4"/>
        <v>0</v>
      </c>
      <c r="P110" s="143">
        <f t="shared" si="5"/>
        <v>0</v>
      </c>
      <c r="Q110" s="143">
        <f t="shared" si="6"/>
        <v>0</v>
      </c>
      <c r="R110" s="144">
        <f t="shared" si="7"/>
        <v>0</v>
      </c>
      <c r="S110" s="144" t="str">
        <f t="shared" ca="1" si="8"/>
        <v/>
      </c>
    </row>
    <row r="111" spans="2:19" ht="13.5" customHeight="1" x14ac:dyDescent="0.35"/>
    <row r="112" spans="2:19" ht="18" customHeight="1" x14ac:dyDescent="0.35">
      <c r="B112" s="216" t="s">
        <v>48</v>
      </c>
      <c r="C112" s="216"/>
      <c r="D112" s="216"/>
      <c r="E112" s="216"/>
      <c r="F112" s="216"/>
      <c r="G112" s="216"/>
      <c r="H112" s="216"/>
      <c r="I112" s="216"/>
      <c r="J112" s="216"/>
    </row>
    <row r="113" spans="1:18" ht="5.25" customHeight="1" x14ac:dyDescent="0.35"/>
    <row r="114" spans="1:18" ht="18" customHeight="1" x14ac:dyDescent="0.35">
      <c r="B114" s="239"/>
      <c r="C114" s="240"/>
      <c r="D114" s="127" t="str">
        <f>IF(D$35&lt;&gt;"",D$35,D$34)</f>
        <v>Member 1</v>
      </c>
      <c r="E114" s="128" t="str">
        <f>IF(E$35&lt;&gt;"",E$35,E$34)</f>
        <v>Member 2</v>
      </c>
      <c r="F114" s="128" t="str">
        <f>IF(F$35&lt;&gt;"",F$35,F$34)</f>
        <v>Member 3</v>
      </c>
      <c r="G114" s="128" t="str">
        <f>IF(G$35&lt;&gt;"",G$35,G$34)</f>
        <v>Member 4</v>
      </c>
      <c r="H114" s="67" t="s">
        <v>49</v>
      </c>
      <c r="I114" s="109"/>
      <c r="J114" s="53"/>
    </row>
    <row r="115" spans="1:18" ht="18" customHeight="1" x14ac:dyDescent="0.35">
      <c r="A115">
        <f t="shared" ref="A115:A130" si="9">IF(I115&lt;&gt;"",1,0)</f>
        <v>0</v>
      </c>
      <c r="B115" s="84"/>
      <c r="C115" s="84" t="str">
        <f>CONCATENATE("Accumulation Account Bal ",txtstdate)</f>
        <v>Accumulation Account Bal 01/07/2024</v>
      </c>
      <c r="D115" s="175"/>
      <c r="E115" s="176"/>
      <c r="F115" s="176"/>
      <c r="G115" s="176"/>
      <c r="H115" s="85">
        <f>SUM(D115:G115)</f>
        <v>0</v>
      </c>
      <c r="I115" s="106"/>
      <c r="J115" s="105"/>
      <c r="K115"/>
      <c r="L115"/>
      <c r="M115"/>
      <c r="N115"/>
      <c r="O115"/>
      <c r="P115"/>
      <c r="Q115"/>
    </row>
    <row r="116" spans="1:18" ht="18" customHeight="1" x14ac:dyDescent="0.35">
      <c r="A116">
        <f t="shared" si="9"/>
        <v>0</v>
      </c>
      <c r="B116" s="82"/>
      <c r="C116" s="83" t="str">
        <f>CONCATENATE("Account-Based Pension Bal ",txtstdate)</f>
        <v>Account-Based Pension Bal 01/07/2024</v>
      </c>
      <c r="D116" s="176"/>
      <c r="E116" s="176"/>
      <c r="F116" s="176"/>
      <c r="G116" s="176"/>
      <c r="H116" s="86">
        <f>SUM(D116:G116)</f>
        <v>0</v>
      </c>
      <c r="I116" s="106"/>
      <c r="J116" s="105"/>
      <c r="K116" t="s">
        <v>208</v>
      </c>
      <c r="L116" t="s">
        <v>208</v>
      </c>
      <c r="M116" t="s">
        <v>208</v>
      </c>
      <c r="N116"/>
      <c r="O116"/>
      <c r="P116"/>
      <c r="Q116"/>
    </row>
    <row r="117" spans="1:18" ht="18" customHeight="1" x14ac:dyDescent="0.35">
      <c r="A117">
        <f t="shared" si="9"/>
        <v>0</v>
      </c>
      <c r="B117" s="82"/>
      <c r="C117" s="83" t="str">
        <f>CONCATENATE("Defined Benefit Pension Bal ",txtstdate)</f>
        <v>Defined Benefit Pension Bal 01/07/2024</v>
      </c>
      <c r="D117" s="176"/>
      <c r="E117" s="176"/>
      <c r="F117" s="176"/>
      <c r="G117" s="176"/>
      <c r="H117" s="86">
        <f>SUM(D117:G117)</f>
        <v>0</v>
      </c>
      <c r="I117" s="106" t="str">
        <f>IF(SUM(K117:N117)&gt;0,"Check Opening Balances","")</f>
        <v/>
      </c>
      <c r="J117" s="105"/>
      <c r="K117" t="str">
        <f>IF(AND(OR(D117="",D117=0),OR($C$67="Member 1",$D$67="Member 1",$E$67="Member 1",$F$67="Member 1",$G$67="Member 1",$H$67="Member 1")),1,"")</f>
        <v/>
      </c>
      <c r="L117" t="str">
        <f>IF(AND(OR(E117="",E117=0),OR($C$67="Member 2",$D$67="Member 2",$E$67="Member 2",$F$67="Member 2",$G$67="Member 2",$H$67="Member 2")),2,"")</f>
        <v/>
      </c>
      <c r="M117" t="str">
        <f>IF(AND(OR(F117="",F117=0),OR($C$67="Member 3",$D$67="Member 3",$E$67="Member 3",$F$67="Member 3",$G$67="Member 3",$H$67="Member 3")),3,"")</f>
        <v/>
      </c>
      <c r="N117" t="str">
        <f>IF(AND(OR(G117="",G117=0),OR($C$67="Member 4",$D$67="Member 4",$E$67="Member 4",$F$67="Member 4",$G$67="Member 4",$H$67="Member 4")),4,"")</f>
        <v/>
      </c>
      <c r="O117"/>
      <c r="P117"/>
      <c r="Q117"/>
    </row>
    <row r="118" spans="1:18" ht="18" customHeight="1" x14ac:dyDescent="0.35">
      <c r="A118">
        <f t="shared" si="9"/>
        <v>0</v>
      </c>
      <c r="B118" s="249" t="str">
        <f>CONCATENATE("FUND BALANCE AT ",txtstdate)</f>
        <v>FUND BALANCE AT 01/07/2024</v>
      </c>
      <c r="C118" s="250"/>
      <c r="D118" s="250"/>
      <c r="E118" s="250"/>
      <c r="F118" s="250"/>
      <c r="G118" s="250"/>
      <c r="H118" s="66">
        <f>SUM(H115:H117)</f>
        <v>0</v>
      </c>
      <c r="J118" s="104"/>
      <c r="K118"/>
      <c r="L118"/>
      <c r="M118"/>
      <c r="N118"/>
      <c r="O118"/>
      <c r="P118"/>
      <c r="Q118"/>
    </row>
    <row r="119" spans="1:18" ht="2.15" customHeight="1" x14ac:dyDescent="0.35">
      <c r="B119" s="79"/>
      <c r="C119" s="80"/>
      <c r="D119" s="95"/>
      <c r="E119" s="95"/>
      <c r="F119" s="95"/>
      <c r="G119" s="95"/>
      <c r="H119" s="87"/>
      <c r="J119" s="105"/>
      <c r="K119"/>
      <c r="L119"/>
      <c r="M119"/>
      <c r="N119"/>
      <c r="O119"/>
      <c r="P119"/>
      <c r="Q119"/>
    </row>
    <row r="120" spans="1:18" ht="18" customHeight="1" x14ac:dyDescent="0.35">
      <c r="A120">
        <f t="shared" si="9"/>
        <v>0</v>
      </c>
      <c r="B120" s="238" t="s">
        <v>169</v>
      </c>
      <c r="C120" s="238"/>
      <c r="D120" s="175"/>
      <c r="E120" s="176"/>
      <c r="F120" s="176"/>
      <c r="G120" s="176"/>
      <c r="H120" s="85">
        <f>SUM(D120:G120)</f>
        <v>0</v>
      </c>
      <c r="I120" s="135"/>
      <c r="J120" s="135"/>
      <c r="K120"/>
      <c r="L120"/>
      <c r="M120"/>
      <c r="N120"/>
      <c r="O120"/>
      <c r="P120"/>
      <c r="Q120"/>
    </row>
    <row r="121" spans="1:18" ht="18" customHeight="1" x14ac:dyDescent="0.35">
      <c r="A121">
        <f t="shared" si="9"/>
        <v>0</v>
      </c>
      <c r="B121" s="238" t="s">
        <v>252</v>
      </c>
      <c r="C121" s="238"/>
      <c r="D121" s="176"/>
      <c r="E121" s="176"/>
      <c r="F121" s="176"/>
      <c r="G121" s="176"/>
      <c r="H121" s="86">
        <f>SUM(D121:G121)</f>
        <v>0</v>
      </c>
      <c r="I121" s="135"/>
      <c r="J121" s="135"/>
      <c r="K121"/>
      <c r="L121"/>
      <c r="M121"/>
      <c r="N121"/>
      <c r="O121"/>
      <c r="P121"/>
      <c r="Q121"/>
    </row>
    <row r="122" spans="1:18" ht="18" customHeight="1" x14ac:dyDescent="0.35">
      <c r="A122">
        <f t="shared" si="9"/>
        <v>0</v>
      </c>
      <c r="B122" s="238" t="s">
        <v>170</v>
      </c>
      <c r="C122" s="238"/>
      <c r="D122" s="176"/>
      <c r="E122" s="176"/>
      <c r="F122" s="176"/>
      <c r="G122" s="176"/>
      <c r="H122" s="86">
        <f t="shared" ref="H122:H131" si="10">SUM(D122:G122)</f>
        <v>0</v>
      </c>
      <c r="I122" s="136" t="str">
        <f>IF(SUM(K122:N122)&gt;0," &lt;= ERROR","")</f>
        <v/>
      </c>
      <c r="J122" s="137" t="str">
        <f>IF(I122&lt;&gt;"",CONCATENATE("Member ",K122," ",L122," ",M122," ",N122),"")</f>
        <v/>
      </c>
      <c r="K122" s="6" t="str">
        <f>IF(AND(D122-SUM(D120,D115)&gt;0,ABPEnd1&lt;1),1,"")</f>
        <v/>
      </c>
      <c r="L122" s="6" t="str">
        <f>IF(AND(E122-SUM(E120,E115)&gt;0,ABPEnd2&lt;1),2,"")</f>
        <v/>
      </c>
      <c r="M122" s="6" t="str">
        <f>IF(AND(F122-SUM(F120,F115)&gt;0,ABPEnd3&lt;1),3,"")</f>
        <v/>
      </c>
      <c r="N122" s="6" t="str">
        <f>IF(AND(G122-SUM(G120,G115)&gt;0,ABPEnd4&lt;1),4,"")</f>
        <v/>
      </c>
      <c r="O122" s="132" t="s">
        <v>230</v>
      </c>
      <c r="P122" s="132" t="s">
        <v>232</v>
      </c>
      <c r="Q122" s="132"/>
      <c r="R122" s="132"/>
    </row>
    <row r="123" spans="1:18" ht="18" customHeight="1" x14ac:dyDescent="0.35">
      <c r="A123">
        <f t="shared" si="9"/>
        <v>0</v>
      </c>
      <c r="B123" s="238" t="s">
        <v>171</v>
      </c>
      <c r="C123" s="238"/>
      <c r="D123" s="176"/>
      <c r="E123" s="176"/>
      <c r="F123" s="176"/>
      <c r="G123" s="176"/>
      <c r="H123" s="86">
        <f t="shared" si="10"/>
        <v>0</v>
      </c>
      <c r="I123" s="136" t="str">
        <f>IF(SUM(K123:N123)&gt;0," &lt;= ERROR","")</f>
        <v/>
      </c>
      <c r="J123" s="137" t="str">
        <f>IF(I123&lt;&gt;"",CONCATENATE("Member ",K123," ",L123," ",M123," ",N123),"")</f>
        <v/>
      </c>
      <c r="K123" s="6" t="str">
        <f>IF(OR(AND(D123&gt;0,D116&lt;1,O123&lt;1),AND(D116&gt;0,D123&lt;1,O124&lt;1)),1,"")</f>
        <v/>
      </c>
      <c r="L123" s="6" t="str">
        <f>IF(OR(AND(E123&gt;0,E116&lt;1,P123&lt;1),AND(E116&gt;0,E123&lt;1,P124&lt;1)),2,"")</f>
        <v/>
      </c>
      <c r="M123" s="6" t="str">
        <f>IF(OR(AND(F123&gt;0,F116&lt;1,Q123&lt;1),AND(F116&gt;0,F123&lt;1,Q124&lt;1)),3,"")</f>
        <v/>
      </c>
      <c r="N123" s="6" t="str">
        <f>IF(OR(AND(G123&gt;0,G116&lt;1,R123&lt;1),AND(G116&gt;0,G123&lt;1,R124&lt;1)),4,"")</f>
        <v/>
      </c>
      <c r="O123" s="132">
        <f>COUNTIF($F$101:$F$110,"Mem1 AB Pens")</f>
        <v>0</v>
      </c>
      <c r="P123" s="132">
        <f>COUNTIF($F$101:$F$110,"Mem2 AB Pens")</f>
        <v>0</v>
      </c>
      <c r="Q123" s="132">
        <f>COUNTIF($F$101:$F$110,"Mem3 AB Pens")</f>
        <v>0</v>
      </c>
      <c r="R123" s="132">
        <f>COUNTIF($F$101:$F$110,"Mem4 AB Pens")</f>
        <v>0</v>
      </c>
    </row>
    <row r="124" spans="1:18" ht="18" customHeight="1" x14ac:dyDescent="0.35">
      <c r="A124">
        <f t="shared" si="9"/>
        <v>0</v>
      </c>
      <c r="B124" s="238" t="s">
        <v>172</v>
      </c>
      <c r="C124" s="238"/>
      <c r="D124" s="176"/>
      <c r="E124" s="176"/>
      <c r="F124" s="176"/>
      <c r="G124" s="176"/>
      <c r="H124" s="86">
        <f t="shared" si="10"/>
        <v>0</v>
      </c>
      <c r="I124" s="136" t="str">
        <f>IF(SUM(K124:N124)&gt;0," &lt;= ERROR","")</f>
        <v/>
      </c>
      <c r="J124" s="137" t="str">
        <f>IF(I124&lt;&gt;"",CONCATENATE("Member ",K124," ",L124," ",M124," ",N124),"")</f>
        <v/>
      </c>
      <c r="K124" s="6" t="str">
        <f>IF(OR(AND(D124&gt;0,D117&lt;1),AND(D117&gt;0,D124&lt;1)),1,"")</f>
        <v/>
      </c>
      <c r="L124" s="6" t="str">
        <f>IF(OR(AND(E124&gt;0,E117&lt;1),AND(E117&gt;0,E124&lt;1)),2,"")</f>
        <v/>
      </c>
      <c r="M124" s="6" t="str">
        <f>IF(OR(AND(F124&gt;0,F117&lt;1),AND(F117&gt;0,F124&lt;1)),3,"")</f>
        <v/>
      </c>
      <c r="N124" s="6" t="str">
        <f>IF(OR(AND(G124&gt;0,G117&lt;1),AND(G117&gt;0,G124&lt;1)),4,"")</f>
        <v/>
      </c>
      <c r="O124" s="131">
        <f>COUNTIF($E$101:$E$110,"Mem1 AB Pens")</f>
        <v>0</v>
      </c>
      <c r="P124" s="131">
        <f>COUNTIF($E$101:$E$110,"Mem2 AB Pens")</f>
        <v>0</v>
      </c>
      <c r="Q124" s="131">
        <f>COUNTIF($E$101:$E$110,"Mem3 AB Pens")</f>
        <v>0</v>
      </c>
      <c r="R124" s="131">
        <f>COUNTIF($E$101:$E$110,"Mem4 AB Pens")</f>
        <v>0</v>
      </c>
    </row>
    <row r="125" spans="1:18" ht="18" customHeight="1" x14ac:dyDescent="0.35">
      <c r="A125">
        <f t="shared" si="9"/>
        <v>0</v>
      </c>
      <c r="B125" s="76"/>
      <c r="C125" s="77" t="s">
        <v>173</v>
      </c>
      <c r="D125" s="177"/>
      <c r="E125" s="177"/>
      <c r="F125" s="177"/>
      <c r="G125" s="177"/>
      <c r="H125" s="86">
        <f t="shared" si="10"/>
        <v>0</v>
      </c>
      <c r="I125" s="137" t="str">
        <f>IF(AND(H130&gt;0,H125=0)," No Net Income shown","")</f>
        <v/>
      </c>
      <c r="J125" s="138"/>
      <c r="K125" s="6"/>
      <c r="L125" s="6"/>
      <c r="M125" s="6"/>
      <c r="N125" s="6"/>
      <c r="O125" s="131" t="s">
        <v>231</v>
      </c>
      <c r="P125" s="131" t="s">
        <v>233</v>
      </c>
      <c r="Q125" s="131"/>
      <c r="R125" s="131"/>
    </row>
    <row r="126" spans="1:18" ht="2.15" customHeight="1" x14ac:dyDescent="0.35">
      <c r="B126" s="79"/>
      <c r="C126" s="80"/>
      <c r="D126" s="178"/>
      <c r="E126" s="178"/>
      <c r="F126" s="178"/>
      <c r="G126" s="178"/>
      <c r="H126" s="81"/>
      <c r="I126" s="135"/>
      <c r="J126" s="138"/>
      <c r="K126" s="6"/>
      <c r="L126" s="6"/>
      <c r="M126" s="6"/>
      <c r="N126" s="6"/>
      <c r="O126"/>
      <c r="P126"/>
      <c r="Q126"/>
    </row>
    <row r="127" spans="1:18" ht="18" customHeight="1" x14ac:dyDescent="0.35">
      <c r="A127">
        <f t="shared" ca="1" si="9"/>
        <v>0</v>
      </c>
      <c r="B127" s="82"/>
      <c r="C127" s="83" t="str">
        <f>CONCATENATE("Accumulation Account Bal ",txtenddate)</f>
        <v>Accumulation Account Bal 30/06/2025</v>
      </c>
      <c r="D127" s="177"/>
      <c r="E127" s="177"/>
      <c r="F127" s="177"/>
      <c r="G127" s="177"/>
      <c r="H127" s="66">
        <f t="shared" si="10"/>
        <v>0</v>
      </c>
      <c r="I127" s="139" t="str">
        <f ca="1">IF(SUM(K127:N127)&gt;0," ERROR?","")</f>
        <v/>
      </c>
      <c r="J127" s="140" t="str">
        <f ca="1">IF(I127&lt;&gt;"",CONCATENATE("Member ",K127," ",L127," ",M127," ",N127),"")</f>
        <v/>
      </c>
      <c r="K127" s="6" t="str">
        <f ca="1">IF(OR(AND(D127&gt;0,D115&lt;1,SUM(D120:D121)&lt;1,ABPEnd1&lt;1,DBPEnd1&lt;1),AND(D115&gt;0,D127&lt;1,D122&lt;1,ABPSt1&lt;1)),1,"")</f>
        <v/>
      </c>
      <c r="L127" s="6" t="str">
        <f ca="1">IF(OR(AND(E127&gt;0,E115&lt;1,SUM(E120:E121)&lt;1,ABPEnd2&lt;1,DBPEnd2&lt;1),AND(E115&gt;0,E127&lt;1,E122&lt;1,ABPSt2&lt;1)),2,"")</f>
        <v/>
      </c>
      <c r="M127" s="6" t="str">
        <f ca="1">IF(OR(AND(F127&gt;0,F115&lt;1,SUM(F120:F121)&lt;1,ABPEnd3&lt;1,DBPEnd3&lt;1),AND(F115&gt;0,F127&lt;1,F122&lt;1,ABPSt3&lt;1)),3,"")</f>
        <v/>
      </c>
      <c r="N127" s="6" t="str">
        <f ca="1">IF(OR(AND(G127&gt;0,G115&lt;1,SUM(G120:G121)&lt;1,ABPEnd4&lt;1,DBPEnd4&lt;1),AND(G115&gt;0,G127&lt;1,G122&lt;1,ABPSt4&lt;1)),4,"")</f>
        <v/>
      </c>
      <c r="O127"/>
      <c r="P127"/>
      <c r="Q127"/>
    </row>
    <row r="128" spans="1:18" ht="18" customHeight="1" x14ac:dyDescent="0.35">
      <c r="A128">
        <f t="shared" si="9"/>
        <v>0</v>
      </c>
      <c r="B128" s="82"/>
      <c r="C128" s="83" t="str">
        <f>CONCATENATE("Account-Based Pension Bal ",txtenddate)</f>
        <v>Account-Based Pension Bal 30/06/2025</v>
      </c>
      <c r="D128" s="177"/>
      <c r="E128" s="177"/>
      <c r="F128" s="177"/>
      <c r="G128" s="177"/>
      <c r="H128" s="66">
        <f t="shared" si="10"/>
        <v>0</v>
      </c>
      <c r="I128" s="139" t="str">
        <f>IF(SUM(K128:N128)&gt;0," ERROR?","")</f>
        <v/>
      </c>
      <c r="J128" s="140" t="str">
        <f>IF(I128&lt;&gt;"",CONCATENATE("Member ",K128," ",L128," ",M128," ",N128),"")</f>
        <v/>
      </c>
      <c r="K128" s="6" t="str">
        <f>IF(OR(AND(D128&gt;0,D116&lt;1,ABPSt1&lt;1),AND(D116&gt;0,D128&lt;1,D123&lt;D116,ABPEnd1&lt;1),AND(D128&lt;1,ABPSt1&gt;0)),1,"")</f>
        <v/>
      </c>
      <c r="L128" s="6" t="str">
        <f>IF(OR(AND(E128&gt;0,E116&lt;1,ABPSt2&lt;1),AND(E116&gt;0,E128&lt;1,E123&lt;E116,ABPEnd2&lt;1),AND(E128&lt;1,ABPSt2&gt;0)),2,"")</f>
        <v/>
      </c>
      <c r="M128" s="6" t="str">
        <f>IF(OR(AND(F128&gt;0,F116&lt;1,ABPSt3&lt;1),AND(F116&gt;0,F128&lt;1,F123&lt;F116,ABPEnd3&lt;1),AND(F128&lt;1,ABPSt3&gt;0)),3,"")</f>
        <v/>
      </c>
      <c r="N128" s="6" t="str">
        <f>IF(OR(AND(G128&gt;0,G116&lt;1,ABPSt4&lt;1),AND(G116&gt;0,G128&lt;1,G123&lt;G116,ABPEnd4&lt;1),AND(G128&lt;1,ABPSt4&gt;0)),4,"")</f>
        <v/>
      </c>
      <c r="O128" t="s">
        <v>234</v>
      </c>
      <c r="P128"/>
      <c r="Q128"/>
    </row>
    <row r="129" spans="1:18" ht="18" customHeight="1" x14ac:dyDescent="0.35">
      <c r="A129">
        <f t="shared" ca="1" si="9"/>
        <v>0</v>
      </c>
      <c r="B129" s="82"/>
      <c r="C129" s="83" t="str">
        <f>CONCATENATE("Defined Benefit Pension Bal ",txtenddate)</f>
        <v>Defined Benefit Pension Bal 30/06/2025</v>
      </c>
      <c r="D129" s="177"/>
      <c r="E129" s="177"/>
      <c r="F129" s="177"/>
      <c r="G129" s="177"/>
      <c r="H129" s="66">
        <f t="shared" si="10"/>
        <v>0</v>
      </c>
      <c r="I129" s="139" t="str">
        <f ca="1">IF(SUM(K129:N129)&gt;0," ERROR?","")</f>
        <v/>
      </c>
      <c r="J129" s="140" t="str">
        <f ca="1">IF(I129&lt;&gt;"",CONCATENATE("Member ",K129," ",L129," ",M129," ",N129),"")</f>
        <v/>
      </c>
      <c r="K129" s="6" t="str">
        <f ca="1">IF(OR(AND(D129&gt;0,D117&lt;1),AND(D117&gt;0,D129&lt;1,DBPEnd1&lt;1)),1,"")</f>
        <v/>
      </c>
      <c r="L129" s="6" t="str">
        <f ca="1">IF(OR(AND(E129&gt;0,E117&lt;1),AND(E117&gt;0,E129&lt;1,DBPEnd2&lt;1)),2,"")</f>
        <v/>
      </c>
      <c r="M129" s="6" t="str">
        <f ca="1">IF(OR(AND(F129&gt;0,F117&lt;1),AND(F117&gt;0,F129&lt;1,DBPEnd3&lt;1)),3,"")</f>
        <v/>
      </c>
      <c r="N129" s="6" t="str">
        <f ca="1">IF(OR(AND(G129&gt;0,G117&lt;1),AND(G117&gt;0,G129&lt;1,DBPEnd4&lt;1)),4,"")</f>
        <v/>
      </c>
      <c r="O129" s="134">
        <f ca="1">IF(COUNTIF($S$101:$S$110,1)&gt;0,1,0)</f>
        <v>0</v>
      </c>
      <c r="P129" s="134">
        <f ca="1">IF(COUNTIF($S$101:$S$110,2)&gt;0,1,0)</f>
        <v>0</v>
      </c>
      <c r="Q129" s="134">
        <f ca="1">IF(COUNTIF($S$101:$S$110,3)&gt;0,1,0)</f>
        <v>0</v>
      </c>
      <c r="R129" s="134">
        <f ca="1">IF(COUNTIF($S$101:$S$110,4)&gt;0,1,0)</f>
        <v>0</v>
      </c>
    </row>
    <row r="130" spans="1:18" ht="18" customHeight="1" x14ac:dyDescent="0.35">
      <c r="A130">
        <f t="shared" si="9"/>
        <v>0</v>
      </c>
      <c r="B130" s="205" t="str">
        <f>CONCATENATE("Member Closing Bal ",txtenddate)</f>
        <v>Member Closing Bal 30/06/2025</v>
      </c>
      <c r="C130" s="206"/>
      <c r="D130" s="66">
        <f>SUM(D127:D129)</f>
        <v>0</v>
      </c>
      <c r="E130" s="66">
        <f>SUM(E127:E129)</f>
        <v>0</v>
      </c>
      <c r="F130" s="66">
        <f>SUM(F127:F129)</f>
        <v>0</v>
      </c>
      <c r="G130" s="66">
        <f>SUM(G127:G129)</f>
        <v>0</v>
      </c>
      <c r="H130" s="66">
        <f t="shared" si="10"/>
        <v>0</v>
      </c>
      <c r="I130" s="137" t="str">
        <f>IF(H130&lt;&gt;H131," FIGURES IN TABLE DON'T","")</f>
        <v/>
      </c>
      <c r="J130" s="141"/>
      <c r="K130"/>
      <c r="L130"/>
      <c r="M130"/>
      <c r="N130"/>
      <c r="O130"/>
      <c r="P130"/>
      <c r="Q130"/>
    </row>
    <row r="131" spans="1:18" ht="18" customHeight="1" x14ac:dyDescent="0.35">
      <c r="A131">
        <f>IF(I131&lt;&gt;"",1,0)</f>
        <v>0</v>
      </c>
      <c r="B131" s="205" t="s">
        <v>168</v>
      </c>
      <c r="C131" s="206"/>
      <c r="D131" s="66">
        <f>D115+D116+D117+D120+D121+D125-SUM(D122:D124)</f>
        <v>0</v>
      </c>
      <c r="E131" s="66">
        <f>E115+E116+E117+E120+E121+E125-SUM(E122:E124)</f>
        <v>0</v>
      </c>
      <c r="F131" s="66">
        <f>F115+F116+F117+F120+F121+F125-SUM(F122:F124)</f>
        <v>0</v>
      </c>
      <c r="G131" s="66">
        <f>G115+G116+G117+G120+G121+G125-SUM(G122:G124)</f>
        <v>0</v>
      </c>
      <c r="H131" s="66">
        <f t="shared" si="10"/>
        <v>0</v>
      </c>
      <c r="I131" s="137" t="str">
        <f>IF(H130&lt;&gt;H131," ADD THROUGH! PLEASE FIX","")</f>
        <v/>
      </c>
      <c r="J131" s="141"/>
      <c r="K131"/>
      <c r="L131"/>
      <c r="M131"/>
      <c r="N131"/>
      <c r="O131"/>
      <c r="P131"/>
      <c r="Q131"/>
    </row>
    <row r="132" spans="1:18" ht="4.5" customHeight="1" x14ac:dyDescent="0.35">
      <c r="I132" s="108">
        <f ca="1">SUM(A115:A131)</f>
        <v>0</v>
      </c>
    </row>
    <row r="133" spans="1:18" ht="18" customHeight="1" x14ac:dyDescent="0.35">
      <c r="B133" s="248" t="s">
        <v>50</v>
      </c>
      <c r="C133" s="248"/>
      <c r="D133" s="248"/>
      <c r="E133" s="248"/>
      <c r="F133" s="248"/>
      <c r="G133" s="248"/>
      <c r="H133" s="248"/>
    </row>
    <row r="134" spans="1:18" ht="18" customHeight="1" x14ac:dyDescent="0.35">
      <c r="B134" s="97"/>
      <c r="C134" s="97"/>
      <c r="D134" s="97"/>
      <c r="E134" s="97"/>
      <c r="F134" s="97"/>
      <c r="G134" s="97"/>
      <c r="H134" s="97"/>
    </row>
    <row r="135" spans="1:18" ht="15" hidden="1" customHeight="1" x14ac:dyDescent="0.35">
      <c r="B135" s="184"/>
      <c r="C135" s="184"/>
      <c r="D135" s="184"/>
      <c r="E135" s="184"/>
      <c r="F135" s="184"/>
      <c r="G135" s="185" t="s">
        <v>190</v>
      </c>
      <c r="H135" s="186" t="s">
        <v>30</v>
      </c>
      <c r="I135" s="187"/>
      <c r="J135" s="187"/>
    </row>
    <row r="136" spans="1:18" ht="7.5" hidden="1" customHeight="1" x14ac:dyDescent="0.35">
      <c r="B136" s="184"/>
      <c r="C136" s="184"/>
      <c r="D136" s="184"/>
      <c r="E136" s="184"/>
      <c r="F136" s="184"/>
      <c r="G136" s="184"/>
      <c r="H136" s="184"/>
      <c r="I136" s="187"/>
      <c r="J136" s="187"/>
    </row>
    <row r="137" spans="1:18" ht="18" hidden="1" customHeight="1" x14ac:dyDescent="0.35">
      <c r="B137" s="229" t="str">
        <f>IF(H135="No","How much of the Closing Balance of the Fund shown above relates to assets that breach or are inconsistent with the legislation","")</f>
        <v>How much of the Closing Balance of the Fund shown above relates to assets that breach or are inconsistent with the legislation</v>
      </c>
      <c r="C137" s="229"/>
      <c r="D137" s="229"/>
      <c r="E137" s="229"/>
      <c r="F137" s="229"/>
      <c r="G137" s="229"/>
      <c r="H137" s="229"/>
      <c r="I137" s="229"/>
      <c r="J137" s="229"/>
    </row>
    <row r="138" spans="1:18" ht="15" hidden="1" customHeight="1" x14ac:dyDescent="0.35">
      <c r="B138" s="230" t="str">
        <f>IF(H135="No","(such as  certain in-house assets, geared investments, loans to members, or assets purchased from members)? ","Leave this field blank if an unqualified audit opinion has been issued:")</f>
        <v xml:space="preserve">(such as  certain in-house assets, geared investments, loans to members, or assets purchased from members)? </v>
      </c>
      <c r="C138" s="230"/>
      <c r="D138" s="230"/>
      <c r="E138" s="230"/>
      <c r="F138" s="230"/>
      <c r="G138" s="231"/>
      <c r="H138" s="188"/>
      <c r="I138" s="189"/>
      <c r="J138" s="189"/>
    </row>
    <row r="139" spans="1:18" ht="7.5" hidden="1" customHeight="1" x14ac:dyDescent="0.35">
      <c r="B139" s="184"/>
      <c r="C139" s="184"/>
      <c r="D139" s="184"/>
      <c r="E139" s="184"/>
      <c r="F139" s="184"/>
      <c r="G139" s="184"/>
      <c r="H139" s="184"/>
      <c r="I139" s="187"/>
      <c r="J139" s="187"/>
    </row>
    <row r="140" spans="1:18" ht="13.5" hidden="1" customHeight="1" x14ac:dyDescent="0.35">
      <c r="B140" s="190" t="s">
        <v>51</v>
      </c>
      <c r="C140" s="190"/>
      <c r="D140" s="191"/>
      <c r="E140" s="192" t="s">
        <v>52</v>
      </c>
      <c r="F140" s="192" t="s">
        <v>52</v>
      </c>
      <c r="G140" s="187"/>
      <c r="H140" s="187"/>
      <c r="I140" s="187"/>
      <c r="J140" s="187"/>
    </row>
    <row r="141" spans="1:18" ht="13.5" hidden="1" customHeight="1" x14ac:dyDescent="0.35">
      <c r="B141" s="190" t="s">
        <v>53</v>
      </c>
      <c r="C141" s="190"/>
      <c r="D141" s="191"/>
      <c r="E141" s="192" t="s">
        <v>54</v>
      </c>
      <c r="F141" s="192" t="s">
        <v>54</v>
      </c>
      <c r="G141" s="187"/>
      <c r="H141" s="187"/>
      <c r="I141" s="187"/>
      <c r="J141" s="187"/>
    </row>
    <row r="142" spans="1:18" ht="13.5" hidden="1" customHeight="1" x14ac:dyDescent="0.35">
      <c r="B142" s="190" t="s">
        <v>55</v>
      </c>
      <c r="C142" s="190"/>
      <c r="D142" s="191"/>
      <c r="E142" s="192" t="s">
        <v>56</v>
      </c>
      <c r="F142" s="192" t="s">
        <v>56</v>
      </c>
      <c r="G142" s="187"/>
      <c r="H142" s="187"/>
      <c r="I142" s="187"/>
      <c r="J142" s="187"/>
    </row>
    <row r="143" spans="1:18" ht="13.5" hidden="1" customHeight="1" x14ac:dyDescent="0.35">
      <c r="B143" s="190" t="s">
        <v>57</v>
      </c>
      <c r="C143" s="190"/>
      <c r="D143" s="191"/>
      <c r="E143" s="192" t="s">
        <v>58</v>
      </c>
      <c r="F143" s="192" t="s">
        <v>58</v>
      </c>
      <c r="G143" s="187"/>
      <c r="H143" s="187"/>
      <c r="I143" s="187"/>
      <c r="J143" s="187"/>
    </row>
    <row r="144" spans="1:18" ht="13.5" hidden="1" customHeight="1" x14ac:dyDescent="0.35">
      <c r="B144" s="190" t="s">
        <v>59</v>
      </c>
      <c r="C144" s="190"/>
      <c r="D144" s="191"/>
      <c r="E144" s="193" t="s">
        <v>186</v>
      </c>
      <c r="F144" s="193" t="s">
        <v>186</v>
      </c>
      <c r="G144" s="187"/>
      <c r="H144" s="187"/>
      <c r="I144" s="187"/>
      <c r="J144" s="187"/>
    </row>
    <row r="145" spans="2:10" ht="13.5" hidden="1" customHeight="1" x14ac:dyDescent="0.35">
      <c r="B145" s="194" t="s">
        <v>60</v>
      </c>
      <c r="C145" s="194"/>
      <c r="D145" s="191"/>
      <c r="E145" s="193" t="s">
        <v>187</v>
      </c>
      <c r="F145" s="193" t="s">
        <v>187</v>
      </c>
      <c r="G145" s="187"/>
      <c r="H145" s="187"/>
      <c r="I145" s="187"/>
      <c r="J145" s="187"/>
    </row>
    <row r="146" spans="2:10" ht="13.5" hidden="1" customHeight="1" x14ac:dyDescent="0.35">
      <c r="B146" s="194"/>
      <c r="C146" s="194"/>
      <c r="D146" s="191"/>
      <c r="E146" s="193" t="s">
        <v>188</v>
      </c>
      <c r="F146" s="193" t="s">
        <v>188</v>
      </c>
      <c r="G146" s="187"/>
      <c r="H146" s="187"/>
      <c r="I146" s="187"/>
      <c r="J146" s="187"/>
    </row>
    <row r="147" spans="2:10" ht="13.5" hidden="1" customHeight="1" x14ac:dyDescent="0.35">
      <c r="B147" s="194"/>
      <c r="C147" s="194"/>
      <c r="D147" s="191"/>
      <c r="E147" s="193" t="s">
        <v>189</v>
      </c>
      <c r="F147" s="193" t="s">
        <v>189</v>
      </c>
      <c r="G147" s="187"/>
      <c r="H147" s="187"/>
      <c r="I147" s="187"/>
      <c r="J147" s="187"/>
    </row>
    <row r="148" spans="2:10" ht="13.5" hidden="1" customHeight="1" x14ac:dyDescent="0.35">
      <c r="B148" s="194"/>
      <c r="C148" s="194"/>
      <c r="D148" s="191"/>
      <c r="E148" s="192" t="s">
        <v>29</v>
      </c>
      <c r="F148" s="192" t="s">
        <v>29</v>
      </c>
      <c r="G148" s="187"/>
      <c r="H148" s="187"/>
      <c r="I148" s="187"/>
      <c r="J148" s="187"/>
    </row>
    <row r="149" spans="2:10" ht="13.5" hidden="1" customHeight="1" x14ac:dyDescent="0.35">
      <c r="B149" s="194"/>
      <c r="C149" s="194"/>
      <c r="D149" s="191"/>
      <c r="E149" s="193" t="s">
        <v>131</v>
      </c>
      <c r="F149" s="187"/>
      <c r="G149" s="187"/>
      <c r="H149" s="187"/>
      <c r="I149" s="187"/>
      <c r="J149" s="187"/>
    </row>
    <row r="150" spans="2:10" ht="13.5" hidden="1" customHeight="1" x14ac:dyDescent="0.35">
      <c r="B150" s="194"/>
      <c r="C150" s="194"/>
      <c r="D150" s="191"/>
      <c r="E150" s="193" t="s">
        <v>132</v>
      </c>
      <c r="F150" s="187"/>
      <c r="G150" s="187"/>
      <c r="H150" s="187"/>
      <c r="I150" s="187"/>
      <c r="J150" s="187"/>
    </row>
    <row r="151" spans="2:10" ht="13.5" hidden="1" customHeight="1" x14ac:dyDescent="0.35">
      <c r="B151" s="194"/>
      <c r="C151" s="194"/>
      <c r="D151" s="191"/>
      <c r="E151" s="193" t="s">
        <v>133</v>
      </c>
      <c r="F151" s="187"/>
      <c r="G151" s="187"/>
      <c r="H151" s="187"/>
      <c r="I151" s="187"/>
      <c r="J151" s="187"/>
    </row>
    <row r="152" spans="2:10" ht="13.5" hidden="1" customHeight="1" x14ac:dyDescent="0.35">
      <c r="B152" s="194"/>
      <c r="C152" s="194"/>
      <c r="D152" s="191"/>
      <c r="E152" s="193" t="s">
        <v>134</v>
      </c>
      <c r="F152" s="187"/>
      <c r="G152" s="187"/>
      <c r="H152" s="187"/>
      <c r="I152" s="187"/>
      <c r="J152" s="187"/>
    </row>
    <row r="153" spans="2:10" ht="13.5" hidden="1" customHeight="1" x14ac:dyDescent="0.35">
      <c r="B153" s="194"/>
      <c r="C153" s="194"/>
      <c r="D153" s="191"/>
      <c r="E153" s="193" t="s">
        <v>135</v>
      </c>
      <c r="F153" s="187"/>
      <c r="G153" s="187"/>
      <c r="H153" s="187"/>
      <c r="I153" s="187"/>
      <c r="J153" s="187"/>
    </row>
    <row r="154" spans="2:10" ht="13.5" hidden="1" customHeight="1" x14ac:dyDescent="0.35">
      <c r="B154" s="194"/>
      <c r="C154" s="194"/>
      <c r="D154" s="191"/>
      <c r="E154" s="193" t="s">
        <v>136</v>
      </c>
      <c r="F154" s="187"/>
      <c r="G154" s="187"/>
      <c r="H154" s="187"/>
      <c r="I154" s="187"/>
      <c r="J154" s="187"/>
    </row>
    <row r="155" spans="2:10" ht="13.5" hidden="1" customHeight="1" x14ac:dyDescent="0.35">
      <c r="B155" s="278" t="s">
        <v>207</v>
      </c>
      <c r="C155" s="278"/>
      <c r="D155" s="278"/>
      <c r="E155" s="278"/>
      <c r="F155" s="278"/>
      <c r="G155" s="279"/>
      <c r="H155" s="188"/>
      <c r="I155" s="195"/>
      <c r="J155" s="187"/>
    </row>
    <row r="156" spans="2:10" ht="18" customHeight="1" x14ac:dyDescent="0.35">
      <c r="B156" s="277" t="s">
        <v>245</v>
      </c>
      <c r="C156" s="277"/>
      <c r="D156" s="277"/>
      <c r="E156" s="277"/>
      <c r="F156" s="277"/>
      <c r="G156" s="277"/>
      <c r="H156" s="277"/>
      <c r="I156" s="36"/>
    </row>
    <row r="157" spans="2:10" ht="6" customHeight="1" x14ac:dyDescent="0.35"/>
    <row r="158" spans="2:10" ht="18" customHeight="1" x14ac:dyDescent="0.35">
      <c r="B158" s="216" t="s">
        <v>37</v>
      </c>
      <c r="C158" s="216"/>
      <c r="D158" s="216"/>
      <c r="E158" s="216"/>
      <c r="F158" s="216"/>
      <c r="G158" s="216"/>
      <c r="H158" s="216"/>
      <c r="I158" s="216"/>
      <c r="J158" s="216"/>
    </row>
    <row r="159" spans="2:10" ht="4.5" customHeight="1" x14ac:dyDescent="0.35"/>
    <row r="160" spans="2:10" ht="27" customHeight="1" x14ac:dyDescent="0.35">
      <c r="B160" s="129" t="s">
        <v>61</v>
      </c>
      <c r="C160" s="129" t="s">
        <v>62</v>
      </c>
      <c r="D160" s="129" t="str">
        <f>CONCATENATE(IF(D$35&lt;&gt;"",D$35,D$34),"'s amount")</f>
        <v>Member 1's amount</v>
      </c>
      <c r="E160" s="129" t="str">
        <f>CONCATENATE(IF(E$35&lt;&gt;"",E$35,E$34),"'s amount")</f>
        <v>Member 2's amount</v>
      </c>
      <c r="F160" s="129" t="str">
        <f>CONCATENATE(IF(F$35&lt;&gt;"",F$35,F$34),"'s amount")</f>
        <v>Member 3's amount</v>
      </c>
      <c r="G160" s="129" t="str">
        <f>CONCATENATE(IF(G$35&lt;&gt;"",G$35,G$34),"'s amount")</f>
        <v>Member 4's amount</v>
      </c>
      <c r="I160" s="232" t="str">
        <f ca="1">IF(K256&gt;0,CONCATENATE("Still ",K256," issues to be resolved before finished!"),"The application appears ready to be sent!")</f>
        <v>Still 15 issues to be resolved before finished!</v>
      </c>
      <c r="J160" s="232"/>
    </row>
    <row r="161" spans="2:10" ht="15" hidden="1" customHeight="1" x14ac:dyDescent="0.35">
      <c r="B161" s="27"/>
      <c r="C161" s="27"/>
      <c r="D161" s="27"/>
      <c r="E161" s="27"/>
      <c r="F161" s="27"/>
      <c r="G161" s="27"/>
      <c r="I161" s="232"/>
      <c r="J161" s="232"/>
    </row>
    <row r="162" spans="2:10" ht="15" hidden="1" customHeight="1" x14ac:dyDescent="0.35">
      <c r="B162" s="27" t="s">
        <v>63</v>
      </c>
      <c r="C162" s="27"/>
      <c r="D162" s="27"/>
      <c r="E162" s="27"/>
      <c r="F162" s="27"/>
      <c r="G162" s="27"/>
      <c r="I162" s="232"/>
      <c r="J162" s="232"/>
    </row>
    <row r="163" spans="2:10" ht="15" hidden="1" customHeight="1" x14ac:dyDescent="0.35">
      <c r="B163" s="27" t="s">
        <v>64</v>
      </c>
      <c r="C163" s="27"/>
      <c r="D163" s="27"/>
      <c r="E163" s="27"/>
      <c r="F163" s="27"/>
      <c r="G163" s="27"/>
      <c r="I163" s="232"/>
      <c r="J163" s="232"/>
    </row>
    <row r="164" spans="2:10" ht="15" hidden="1" customHeight="1" x14ac:dyDescent="0.35">
      <c r="B164" s="27" t="s">
        <v>65</v>
      </c>
      <c r="C164" s="27"/>
      <c r="D164" s="27"/>
      <c r="E164" s="27"/>
      <c r="F164" s="27"/>
      <c r="G164" s="27"/>
      <c r="I164" s="232"/>
      <c r="J164" s="232"/>
    </row>
    <row r="165" spans="2:10" ht="15" hidden="1" customHeight="1" x14ac:dyDescent="0.35">
      <c r="B165" s="27" t="s">
        <v>128</v>
      </c>
      <c r="C165" s="27"/>
      <c r="D165" s="27"/>
      <c r="E165" s="27"/>
      <c r="F165" s="27"/>
      <c r="G165" s="27"/>
      <c r="I165" s="232"/>
      <c r="J165" s="232"/>
    </row>
    <row r="166" spans="2:10" ht="15" hidden="1" customHeight="1" x14ac:dyDescent="0.35">
      <c r="B166" s="27" t="s">
        <v>129</v>
      </c>
      <c r="C166" s="27"/>
      <c r="D166" s="27"/>
      <c r="E166" s="27"/>
      <c r="F166" s="27"/>
      <c r="G166" s="27"/>
      <c r="I166" s="232"/>
      <c r="J166" s="232"/>
    </row>
    <row r="167" spans="2:10" ht="13.5" customHeight="1" x14ac:dyDescent="0.35">
      <c r="B167" s="179"/>
      <c r="C167" s="180"/>
      <c r="D167" s="181"/>
      <c r="E167" s="181"/>
      <c r="F167" s="181"/>
      <c r="G167" s="181"/>
      <c r="I167" s="232"/>
      <c r="J167" s="232"/>
    </row>
    <row r="168" spans="2:10" ht="13.5" customHeight="1" x14ac:dyDescent="0.35">
      <c r="B168" s="179"/>
      <c r="C168" s="180"/>
      <c r="D168" s="181"/>
      <c r="E168" s="181"/>
      <c r="F168" s="181"/>
      <c r="G168" s="181"/>
      <c r="I168" s="232"/>
      <c r="J168" s="232"/>
    </row>
    <row r="169" spans="2:10" ht="13.5" customHeight="1" x14ac:dyDescent="0.35">
      <c r="B169" s="179"/>
      <c r="C169" s="180"/>
      <c r="D169" s="181"/>
      <c r="E169" s="181"/>
      <c r="F169" s="181"/>
      <c r="G169" s="181"/>
    </row>
    <row r="170" spans="2:10" ht="13.5" customHeight="1" x14ac:dyDescent="0.35">
      <c r="B170" s="179"/>
      <c r="C170" s="180"/>
      <c r="D170" s="181"/>
      <c r="E170" s="181"/>
      <c r="F170" s="181"/>
      <c r="G170" s="181"/>
    </row>
    <row r="171" spans="2:10" ht="13.5" customHeight="1" x14ac:dyDescent="0.35">
      <c r="B171" s="179"/>
      <c r="C171" s="180"/>
      <c r="D171" s="181"/>
      <c r="E171" s="181"/>
      <c r="F171" s="181"/>
      <c r="G171" s="181"/>
    </row>
    <row r="172" spans="2:10" ht="13.5" customHeight="1" x14ac:dyDescent="0.35">
      <c r="B172" s="179"/>
      <c r="C172" s="180"/>
      <c r="D172" s="181"/>
      <c r="E172" s="181"/>
      <c r="F172" s="181"/>
      <c r="G172" s="181"/>
    </row>
    <row r="173" spans="2:10" ht="13.5" customHeight="1" x14ac:dyDescent="0.35">
      <c r="B173" s="179"/>
      <c r="C173" s="180"/>
      <c r="D173" s="181"/>
      <c r="E173" s="181"/>
      <c r="F173" s="181"/>
      <c r="G173" s="181"/>
    </row>
    <row r="174" spans="2:10" ht="13.5" customHeight="1" x14ac:dyDescent="0.35">
      <c r="B174" s="179"/>
      <c r="C174" s="180"/>
      <c r="D174" s="181"/>
      <c r="E174" s="181"/>
      <c r="F174" s="181"/>
      <c r="G174" s="181"/>
    </row>
    <row r="175" spans="2:10" ht="13.5" customHeight="1" x14ac:dyDescent="0.35">
      <c r="B175" s="179"/>
      <c r="C175" s="180"/>
      <c r="D175" s="181"/>
      <c r="E175" s="181"/>
      <c r="F175" s="181"/>
      <c r="G175" s="181"/>
    </row>
    <row r="176" spans="2:10" ht="13.5" customHeight="1" x14ac:dyDescent="0.35">
      <c r="B176" s="179"/>
      <c r="C176" s="180"/>
      <c r="D176" s="181"/>
      <c r="E176" s="181"/>
      <c r="F176" s="181"/>
      <c r="G176" s="181"/>
    </row>
    <row r="177" spans="2:7" ht="13.5" customHeight="1" x14ac:dyDescent="0.35">
      <c r="B177" s="179"/>
      <c r="C177" s="180"/>
      <c r="D177" s="181"/>
      <c r="E177" s="181"/>
      <c r="F177" s="181"/>
      <c r="G177" s="181"/>
    </row>
    <row r="178" spans="2:7" ht="13.5" customHeight="1" x14ac:dyDescent="0.35">
      <c r="B178" s="179"/>
      <c r="C178" s="180"/>
      <c r="D178" s="181"/>
      <c r="E178" s="181"/>
      <c r="F178" s="181"/>
      <c r="G178" s="181"/>
    </row>
    <row r="179" spans="2:7" ht="13.5" customHeight="1" x14ac:dyDescent="0.35">
      <c r="B179" s="179"/>
      <c r="C179" s="180"/>
      <c r="D179" s="181"/>
      <c r="E179" s="181"/>
      <c r="F179" s="181"/>
      <c r="G179" s="181"/>
    </row>
    <row r="180" spans="2:7" ht="13.5" customHeight="1" x14ac:dyDescent="0.35">
      <c r="B180" s="179"/>
      <c r="C180" s="180"/>
      <c r="D180" s="181"/>
      <c r="E180" s="181"/>
      <c r="F180" s="181"/>
      <c r="G180" s="181"/>
    </row>
    <row r="181" spans="2:7" ht="13.5" customHeight="1" x14ac:dyDescent="0.35">
      <c r="B181" s="179"/>
      <c r="C181" s="180"/>
      <c r="D181" s="181"/>
      <c r="E181" s="181"/>
      <c r="F181" s="181"/>
      <c r="G181" s="181"/>
    </row>
    <row r="182" spans="2:7" ht="13.5" customHeight="1" x14ac:dyDescent="0.35">
      <c r="B182" s="179"/>
      <c r="C182" s="180"/>
      <c r="D182" s="181"/>
      <c r="E182" s="181"/>
      <c r="F182" s="181"/>
      <c r="G182" s="181"/>
    </row>
    <row r="183" spans="2:7" ht="13.5" customHeight="1" x14ac:dyDescent="0.35">
      <c r="B183" s="179"/>
      <c r="C183" s="182"/>
      <c r="D183" s="181"/>
      <c r="E183" s="181"/>
      <c r="F183" s="181"/>
      <c r="G183" s="181"/>
    </row>
    <row r="184" spans="2:7" ht="13.5" customHeight="1" x14ac:dyDescent="0.35">
      <c r="B184" s="179"/>
      <c r="C184" s="182"/>
      <c r="D184" s="181"/>
      <c r="E184" s="181"/>
      <c r="F184" s="181"/>
      <c r="G184" s="181"/>
    </row>
    <row r="185" spans="2:7" ht="13.5" customHeight="1" x14ac:dyDescent="0.35">
      <c r="B185" s="179"/>
      <c r="C185" s="182"/>
      <c r="D185" s="181"/>
      <c r="E185" s="181"/>
      <c r="F185" s="181"/>
      <c r="G185" s="181"/>
    </row>
    <row r="186" spans="2:7" ht="13.5" customHeight="1" x14ac:dyDescent="0.35">
      <c r="B186" s="179"/>
      <c r="C186" s="182"/>
      <c r="D186" s="181"/>
      <c r="E186" s="181"/>
      <c r="F186" s="181"/>
      <c r="G186" s="181"/>
    </row>
    <row r="187" spans="2:7" ht="13.5" customHeight="1" x14ac:dyDescent="0.35">
      <c r="B187" s="179"/>
      <c r="C187" s="182"/>
      <c r="D187" s="181"/>
      <c r="E187" s="181"/>
      <c r="F187" s="181"/>
      <c r="G187" s="181"/>
    </row>
    <row r="188" spans="2:7" ht="13.5" customHeight="1" x14ac:dyDescent="0.35">
      <c r="B188" s="179"/>
      <c r="C188" s="182"/>
      <c r="D188" s="181"/>
      <c r="E188" s="181"/>
      <c r="F188" s="181"/>
      <c r="G188" s="181"/>
    </row>
    <row r="189" spans="2:7" ht="13.5" customHeight="1" x14ac:dyDescent="0.35">
      <c r="B189" s="179"/>
      <c r="C189" s="182"/>
      <c r="D189" s="181"/>
      <c r="E189" s="181"/>
      <c r="F189" s="181"/>
      <c r="G189" s="181"/>
    </row>
    <row r="190" spans="2:7" ht="13.5" customHeight="1" x14ac:dyDescent="0.35">
      <c r="B190" s="179"/>
      <c r="C190" s="182"/>
      <c r="D190" s="181"/>
      <c r="E190" s="181"/>
      <c r="F190" s="181"/>
      <c r="G190" s="181"/>
    </row>
    <row r="191" spans="2:7" ht="13.5" customHeight="1" x14ac:dyDescent="0.35">
      <c r="B191" s="179"/>
      <c r="C191" s="182"/>
      <c r="D191" s="181"/>
      <c r="E191" s="181"/>
      <c r="F191" s="181"/>
      <c r="G191" s="181"/>
    </row>
    <row r="192" spans="2:7" ht="13.5" customHeight="1" x14ac:dyDescent="0.35">
      <c r="B192" s="179"/>
      <c r="C192" s="182"/>
      <c r="D192" s="181"/>
      <c r="E192" s="181"/>
      <c r="F192" s="181"/>
      <c r="G192" s="181"/>
    </row>
    <row r="193" spans="2:10" ht="13.5" customHeight="1" x14ac:dyDescent="0.35">
      <c r="B193" s="179"/>
      <c r="C193" s="182"/>
      <c r="D193" s="181"/>
      <c r="E193" s="181"/>
      <c r="F193" s="181"/>
      <c r="G193" s="181"/>
    </row>
    <row r="194" spans="2:10" ht="13.5" customHeight="1" x14ac:dyDescent="0.35">
      <c r="B194" s="179"/>
      <c r="C194" s="182"/>
      <c r="D194" s="181"/>
      <c r="E194" s="181"/>
      <c r="F194" s="181"/>
      <c r="G194" s="181"/>
    </row>
    <row r="195" spans="2:10" ht="13.5" customHeight="1" x14ac:dyDescent="0.35">
      <c r="B195" s="179"/>
      <c r="C195" s="182"/>
      <c r="D195" s="181"/>
      <c r="E195" s="181"/>
      <c r="F195" s="181"/>
      <c r="G195" s="181"/>
    </row>
    <row r="196" spans="2:10" ht="13.5" customHeight="1" x14ac:dyDescent="0.35">
      <c r="B196" s="179"/>
      <c r="C196" s="182"/>
      <c r="D196" s="181"/>
      <c r="E196" s="181"/>
      <c r="F196" s="181"/>
      <c r="G196" s="181"/>
    </row>
    <row r="197" spans="2:10" ht="13.5" customHeight="1" x14ac:dyDescent="0.35">
      <c r="B197" s="179"/>
      <c r="C197" s="182"/>
      <c r="D197" s="181"/>
      <c r="E197" s="181"/>
      <c r="F197" s="181"/>
      <c r="G197" s="181"/>
    </row>
    <row r="198" spans="2:10" ht="13.5" customHeight="1" x14ac:dyDescent="0.35">
      <c r="B198" s="179"/>
      <c r="C198" s="182"/>
      <c r="D198" s="181"/>
      <c r="E198" s="181"/>
      <c r="F198" s="181"/>
      <c r="G198" s="181"/>
    </row>
    <row r="199" spans="2:10" ht="13.5" customHeight="1" x14ac:dyDescent="0.35">
      <c r="B199" s="179"/>
      <c r="C199" s="182"/>
      <c r="D199" s="181"/>
      <c r="E199" s="181"/>
      <c r="F199" s="181"/>
      <c r="G199" s="181"/>
    </row>
    <row r="200" spans="2:10" ht="13.5" customHeight="1" x14ac:dyDescent="0.35">
      <c r="B200" s="179"/>
      <c r="C200" s="182"/>
      <c r="D200" s="181"/>
      <c r="E200" s="181"/>
      <c r="F200" s="181"/>
      <c r="G200" s="181"/>
    </row>
    <row r="201" spans="2:10" ht="13.5" customHeight="1" x14ac:dyDescent="0.35">
      <c r="B201" s="179"/>
      <c r="C201" s="182"/>
      <c r="D201" s="181"/>
      <c r="E201" s="181"/>
      <c r="F201" s="181"/>
      <c r="G201" s="181"/>
    </row>
    <row r="202" spans="2:10" ht="13.5" customHeight="1" x14ac:dyDescent="0.35">
      <c r="B202" s="179"/>
      <c r="C202" s="182"/>
      <c r="D202" s="181"/>
      <c r="E202" s="181"/>
      <c r="F202" s="181"/>
      <c r="G202" s="181"/>
    </row>
    <row r="203" spans="2:10" ht="13.5" customHeight="1" x14ac:dyDescent="0.35">
      <c r="B203" s="179"/>
      <c r="C203" s="182"/>
      <c r="D203" s="181"/>
      <c r="E203" s="181"/>
      <c r="F203" s="181"/>
      <c r="G203" s="181"/>
      <c r="I203" s="232" t="str">
        <f ca="1">IF(K256&gt;0,CONCATENATE("Still ",K256," issues to be resolved before finished!"),"The application appears ready to be sent!")</f>
        <v>Still 15 issues to be resolved before finished!</v>
      </c>
      <c r="J203" s="232"/>
    </row>
    <row r="204" spans="2:10" ht="13.5" customHeight="1" x14ac:dyDescent="0.35">
      <c r="B204" s="179"/>
      <c r="C204" s="182"/>
      <c r="D204" s="181"/>
      <c r="E204" s="181"/>
      <c r="F204" s="181"/>
      <c r="G204" s="181"/>
      <c r="I204" s="232"/>
      <c r="J204" s="232"/>
    </row>
    <row r="205" spans="2:10" ht="13.5" customHeight="1" x14ac:dyDescent="0.35">
      <c r="B205" s="179"/>
      <c r="C205" s="182"/>
      <c r="D205" s="181"/>
      <c r="E205" s="181"/>
      <c r="F205" s="181"/>
      <c r="G205" s="181"/>
      <c r="I205" s="232"/>
      <c r="J205" s="232"/>
    </row>
    <row r="206" spans="2:10" ht="13.5" customHeight="1" x14ac:dyDescent="0.35">
      <c r="B206" s="179"/>
      <c r="C206" s="182"/>
      <c r="D206" s="181"/>
      <c r="E206" s="181"/>
      <c r="F206" s="181"/>
      <c r="G206" s="181"/>
      <c r="I206" s="232"/>
      <c r="J206" s="232"/>
    </row>
    <row r="207" spans="2:10" ht="13.5" hidden="1" customHeight="1" x14ac:dyDescent="0.35">
      <c r="B207" s="179"/>
      <c r="C207" s="182"/>
      <c r="D207" s="181"/>
      <c r="E207" s="181"/>
      <c r="F207" s="181"/>
      <c r="G207" s="181"/>
    </row>
    <row r="208" spans="2:10" ht="13.5" hidden="1" customHeight="1" x14ac:dyDescent="0.35">
      <c r="B208" s="179"/>
      <c r="C208" s="182"/>
      <c r="D208" s="181"/>
      <c r="E208" s="181"/>
      <c r="F208" s="181"/>
      <c r="G208" s="181"/>
    </row>
    <row r="209" spans="2:10" ht="13.5" hidden="1" customHeight="1" x14ac:dyDescent="0.35">
      <c r="B209" s="179"/>
      <c r="C209" s="182"/>
      <c r="D209" s="181"/>
      <c r="E209" s="181"/>
      <c r="F209" s="181"/>
      <c r="G209" s="181"/>
    </row>
    <row r="210" spans="2:10" ht="13.5" hidden="1" customHeight="1" x14ac:dyDescent="0.35">
      <c r="B210" s="179"/>
      <c r="C210" s="182"/>
      <c r="D210" s="181"/>
      <c r="E210" s="181"/>
      <c r="F210" s="181"/>
      <c r="G210" s="181"/>
    </row>
    <row r="211" spans="2:10" ht="13.5" hidden="1" customHeight="1" x14ac:dyDescent="0.35">
      <c r="B211" s="179"/>
      <c r="C211" s="182"/>
      <c r="D211" s="181"/>
      <c r="E211" s="181"/>
      <c r="F211" s="181"/>
      <c r="G211" s="181"/>
    </row>
    <row r="212" spans="2:10" ht="13.5" hidden="1" customHeight="1" x14ac:dyDescent="0.35">
      <c r="B212" s="179"/>
      <c r="C212" s="182"/>
      <c r="D212" s="181"/>
      <c r="E212" s="181"/>
      <c r="F212" s="181"/>
      <c r="G212" s="181"/>
    </row>
    <row r="213" spans="2:10" ht="13.5" customHeight="1" x14ac:dyDescent="0.35">
      <c r="B213" s="179"/>
      <c r="C213" s="182"/>
      <c r="D213" s="181"/>
      <c r="E213" s="181"/>
      <c r="F213" s="181"/>
      <c r="G213" s="181"/>
    </row>
    <row r="214" spans="2:10" ht="13.5" customHeight="1" x14ac:dyDescent="0.35">
      <c r="B214" s="179"/>
      <c r="C214" s="182"/>
      <c r="D214" s="181"/>
      <c r="E214" s="181"/>
      <c r="F214" s="181"/>
      <c r="G214" s="181"/>
    </row>
    <row r="215" spans="2:10" ht="13.5" customHeight="1" x14ac:dyDescent="0.35">
      <c r="B215" s="179"/>
      <c r="C215" s="182"/>
      <c r="D215" s="181"/>
      <c r="E215" s="181"/>
      <c r="F215" s="181"/>
      <c r="G215" s="181"/>
    </row>
    <row r="216" spans="2:10" ht="13.5" customHeight="1" x14ac:dyDescent="0.35">
      <c r="B216" s="179"/>
      <c r="C216" s="182"/>
      <c r="D216" s="181"/>
      <c r="E216" s="181"/>
      <c r="F216" s="181"/>
      <c r="G216" s="181"/>
    </row>
    <row r="217" spans="2:10" ht="6" customHeight="1" x14ac:dyDescent="0.35"/>
    <row r="218" spans="2:10" ht="18" customHeight="1" x14ac:dyDescent="0.35">
      <c r="B218" s="216" t="s">
        <v>119</v>
      </c>
      <c r="C218" s="216"/>
      <c r="D218" s="216"/>
      <c r="E218" s="216"/>
      <c r="F218" s="216"/>
      <c r="G218" s="216"/>
      <c r="H218" s="216"/>
      <c r="I218" s="216"/>
      <c r="J218" s="216"/>
    </row>
    <row r="219" spans="2:10" ht="6" customHeight="1" x14ac:dyDescent="0.35"/>
    <row r="220" spans="2:10" ht="15" customHeight="1" x14ac:dyDescent="0.35">
      <c r="B220" s="219"/>
      <c r="C220" s="220"/>
      <c r="D220" s="220"/>
      <c r="E220" s="220"/>
      <c r="F220" s="220"/>
      <c r="G220" s="221"/>
      <c r="H220" s="228" t="s">
        <v>66</v>
      </c>
      <c r="I220" s="228"/>
    </row>
    <row r="221" spans="2:10" ht="15" customHeight="1" x14ac:dyDescent="0.35">
      <c r="B221" s="222"/>
      <c r="C221" s="223"/>
      <c r="D221" s="223"/>
      <c r="E221" s="223"/>
      <c r="F221" s="223"/>
      <c r="G221" s="224"/>
      <c r="H221" s="228"/>
      <c r="I221" s="228"/>
    </row>
    <row r="222" spans="2:10" ht="15" customHeight="1" x14ac:dyDescent="0.35">
      <c r="B222" s="222"/>
      <c r="C222" s="223"/>
      <c r="D222" s="223"/>
      <c r="E222" s="223"/>
      <c r="F222" s="223"/>
      <c r="G222" s="224"/>
      <c r="H222" s="228"/>
      <c r="I222" s="228"/>
    </row>
    <row r="223" spans="2:10" ht="15" customHeight="1" x14ac:dyDescent="0.35">
      <c r="B223" s="222"/>
      <c r="C223" s="223"/>
      <c r="D223" s="223"/>
      <c r="E223" s="223"/>
      <c r="F223" s="223"/>
      <c r="G223" s="224"/>
      <c r="H223" s="228"/>
      <c r="I223" s="228"/>
    </row>
    <row r="224" spans="2:10" ht="15" customHeight="1" x14ac:dyDescent="0.35">
      <c r="B224" s="222"/>
      <c r="C224" s="223"/>
      <c r="D224" s="223"/>
      <c r="E224" s="223"/>
      <c r="F224" s="223"/>
      <c r="G224" s="224"/>
      <c r="H224" s="228"/>
      <c r="I224" s="228"/>
    </row>
    <row r="225" spans="2:10" ht="15" customHeight="1" x14ac:dyDescent="0.35">
      <c r="B225" s="222"/>
      <c r="C225" s="223"/>
      <c r="D225" s="223"/>
      <c r="E225" s="223"/>
      <c r="F225" s="223"/>
      <c r="G225" s="224"/>
      <c r="H225" s="228"/>
      <c r="I225" s="228"/>
    </row>
    <row r="226" spans="2:10" ht="15" customHeight="1" x14ac:dyDescent="0.35">
      <c r="B226" s="225"/>
      <c r="C226" s="226"/>
      <c r="D226" s="226"/>
      <c r="E226" s="226"/>
      <c r="F226" s="226"/>
      <c r="G226" s="227"/>
      <c r="H226" s="228"/>
      <c r="I226" s="228"/>
    </row>
    <row r="227" spans="2:10" ht="4.5" customHeight="1" x14ac:dyDescent="0.35"/>
    <row r="228" spans="2:10" ht="13.5" hidden="1" customHeight="1" x14ac:dyDescent="0.35">
      <c r="B228" s="293" t="s">
        <v>213</v>
      </c>
      <c r="C228" s="293"/>
      <c r="D228" s="293"/>
      <c r="E228" s="293"/>
      <c r="F228" s="293"/>
      <c r="G228" s="293"/>
      <c r="H228" s="293"/>
      <c r="I228" s="293"/>
      <c r="J228" s="293"/>
    </row>
    <row r="229" spans="2:10" ht="6" hidden="1" customHeight="1" x14ac:dyDescent="0.35">
      <c r="B229" s="110"/>
      <c r="C229" s="110"/>
      <c r="D229" s="110"/>
      <c r="E229" s="110"/>
      <c r="F229" s="110"/>
      <c r="G229" s="110"/>
      <c r="H229" s="110"/>
      <c r="I229" s="110"/>
      <c r="J229" s="110"/>
    </row>
    <row r="230" spans="2:10" ht="13.5" hidden="1" customHeight="1" x14ac:dyDescent="0.35">
      <c r="B230" s="294" t="s">
        <v>214</v>
      </c>
      <c r="C230" s="295"/>
      <c r="D230" s="296"/>
      <c r="E230" s="297"/>
      <c r="F230" s="297"/>
      <c r="G230" s="297"/>
      <c r="H230" s="307" t="s">
        <v>215</v>
      </c>
      <c r="I230" s="308"/>
      <c r="J230" s="308"/>
    </row>
    <row r="231" spans="2:10" ht="13.5" hidden="1" customHeight="1" x14ac:dyDescent="0.35">
      <c r="B231" s="294" t="s">
        <v>216</v>
      </c>
      <c r="C231" s="295"/>
      <c r="D231" s="296"/>
      <c r="E231" s="297"/>
      <c r="F231" s="297"/>
      <c r="G231" s="297"/>
      <c r="H231" s="309"/>
      <c r="I231" s="310"/>
      <c r="J231" s="310"/>
    </row>
    <row r="232" spans="2:10" ht="13.5" hidden="1" customHeight="1" x14ac:dyDescent="0.35">
      <c r="B232" s="281" t="s">
        <v>114</v>
      </c>
      <c r="C232" s="282"/>
      <c r="D232" s="283"/>
      <c r="E232" s="284"/>
      <c r="F232" s="285"/>
      <c r="G232" s="111" t="s">
        <v>4</v>
      </c>
      <c r="H232" s="120"/>
      <c r="I232" s="111" t="s">
        <v>5</v>
      </c>
      <c r="J232" s="120"/>
    </row>
    <row r="233" spans="2:10" ht="13.5" hidden="1" customHeight="1" x14ac:dyDescent="0.35">
      <c r="B233" s="110"/>
      <c r="C233" s="110"/>
      <c r="D233" s="110"/>
      <c r="E233" s="110"/>
      <c r="F233" s="110"/>
      <c r="G233" s="110"/>
      <c r="H233" s="112" t="s">
        <v>6</v>
      </c>
      <c r="I233" s="110"/>
      <c r="J233" s="110"/>
    </row>
    <row r="234" spans="2:10" ht="13.5" hidden="1" customHeight="1" x14ac:dyDescent="0.35">
      <c r="B234" s="110"/>
      <c r="C234" s="110"/>
      <c r="D234" s="110"/>
      <c r="E234" s="110"/>
      <c r="F234" s="110"/>
      <c r="G234" s="110"/>
      <c r="H234" s="112" t="s">
        <v>7</v>
      </c>
      <c r="I234" s="110"/>
      <c r="J234" s="110"/>
    </row>
    <row r="235" spans="2:10" ht="13.5" hidden="1" customHeight="1" x14ac:dyDescent="0.35">
      <c r="B235" s="110"/>
      <c r="C235" s="110"/>
      <c r="D235" s="110"/>
      <c r="E235" s="110"/>
      <c r="F235" s="110"/>
      <c r="G235" s="110"/>
      <c r="H235" s="112" t="s">
        <v>8</v>
      </c>
      <c r="I235" s="110"/>
      <c r="J235" s="110"/>
    </row>
    <row r="236" spans="2:10" ht="13.5" hidden="1" customHeight="1" x14ac:dyDescent="0.35">
      <c r="B236" s="110"/>
      <c r="C236" s="110"/>
      <c r="D236" s="110"/>
      <c r="E236" s="110"/>
      <c r="F236" s="110"/>
      <c r="G236" s="110"/>
      <c r="H236" s="112" t="s">
        <v>9</v>
      </c>
      <c r="I236" s="110"/>
      <c r="J236" s="110"/>
    </row>
    <row r="237" spans="2:10" ht="13.5" hidden="1" customHeight="1" x14ac:dyDescent="0.35">
      <c r="B237" s="110"/>
      <c r="C237" s="110"/>
      <c r="D237" s="110"/>
      <c r="E237" s="110"/>
      <c r="F237" s="110"/>
      <c r="G237" s="110"/>
      <c r="H237" s="112" t="s">
        <v>10</v>
      </c>
      <c r="I237" s="110"/>
      <c r="J237" s="110"/>
    </row>
    <row r="238" spans="2:10" ht="13.5" hidden="1" customHeight="1" x14ac:dyDescent="0.35">
      <c r="B238" s="110"/>
      <c r="C238" s="110"/>
      <c r="D238" s="110"/>
      <c r="E238" s="110"/>
      <c r="F238" s="110"/>
      <c r="G238" s="110"/>
      <c r="H238" s="112" t="s">
        <v>11</v>
      </c>
      <c r="I238" s="110"/>
      <c r="J238" s="110"/>
    </row>
    <row r="239" spans="2:10" ht="13.5" hidden="1" customHeight="1" x14ac:dyDescent="0.35">
      <c r="B239" s="110"/>
      <c r="C239" s="110"/>
      <c r="D239" s="110"/>
      <c r="E239" s="110"/>
      <c r="F239" s="110"/>
      <c r="G239" s="110"/>
      <c r="H239" s="112" t="s">
        <v>12</v>
      </c>
      <c r="I239" s="110"/>
      <c r="J239" s="110"/>
    </row>
    <row r="240" spans="2:10" ht="13.5" hidden="1" customHeight="1" x14ac:dyDescent="0.35">
      <c r="B240" s="110"/>
      <c r="C240" s="110"/>
      <c r="D240" s="110"/>
      <c r="E240" s="110"/>
      <c r="F240" s="110"/>
      <c r="G240" s="110"/>
      <c r="H240" s="112" t="s">
        <v>13</v>
      </c>
      <c r="I240" s="110"/>
      <c r="J240" s="110"/>
    </row>
    <row r="241" spans="2:11" ht="13.5" hidden="1" customHeight="1" x14ac:dyDescent="0.35">
      <c r="B241" s="286" t="s">
        <v>217</v>
      </c>
      <c r="C241" s="287"/>
      <c r="D241" s="288"/>
      <c r="E241" s="289"/>
      <c r="F241" s="113"/>
      <c r="G241" s="114" t="s">
        <v>15</v>
      </c>
      <c r="H241" s="290"/>
      <c r="I241" s="291"/>
      <c r="J241" s="292"/>
    </row>
    <row r="242" spans="2:11" ht="6" customHeight="1" thickBot="1" x14ac:dyDescent="0.4">
      <c r="B242" s="110"/>
      <c r="C242" s="110"/>
      <c r="D242" s="110"/>
      <c r="E242" s="110"/>
      <c r="F242" s="110"/>
      <c r="G242" s="110"/>
      <c r="H242" s="110"/>
      <c r="I242" s="110"/>
      <c r="J242" s="110"/>
    </row>
    <row r="243" spans="2:11" ht="13.5" hidden="1" customHeight="1" x14ac:dyDescent="0.35">
      <c r="B243" s="293" t="s">
        <v>218</v>
      </c>
      <c r="C243" s="293"/>
      <c r="D243" s="293"/>
      <c r="E243" s="293"/>
      <c r="F243" s="293"/>
      <c r="G243" s="293"/>
      <c r="H243" s="293"/>
      <c r="I243" s="293"/>
      <c r="J243" s="293"/>
    </row>
    <row r="244" spans="2:11" ht="6" hidden="1" customHeight="1" x14ac:dyDescent="0.35">
      <c r="B244" s="110"/>
      <c r="C244" s="110"/>
      <c r="D244" s="110"/>
      <c r="E244" s="110"/>
      <c r="F244" s="110"/>
      <c r="G244" s="110"/>
      <c r="H244" s="110"/>
      <c r="I244" s="110"/>
      <c r="J244" s="110"/>
    </row>
    <row r="245" spans="2:11" ht="13.5" hidden="1" customHeight="1" x14ac:dyDescent="0.35">
      <c r="B245" s="300" t="s">
        <v>219</v>
      </c>
      <c r="C245" s="300"/>
      <c r="D245" s="121" t="s">
        <v>220</v>
      </c>
      <c r="E245" s="122" t="s">
        <v>220</v>
      </c>
      <c r="F245" s="122" t="s">
        <v>220</v>
      </c>
      <c r="G245" s="123" t="s">
        <v>220</v>
      </c>
      <c r="H245" s="301" t="s">
        <v>221</v>
      </c>
      <c r="I245" s="302"/>
      <c r="J245" s="302"/>
    </row>
    <row r="246" spans="2:11" ht="13.5" hidden="1" customHeight="1" x14ac:dyDescent="0.35">
      <c r="B246" s="300" t="s">
        <v>222</v>
      </c>
      <c r="C246" s="303"/>
      <c r="D246" s="304"/>
      <c r="E246" s="305"/>
      <c r="F246" s="305"/>
      <c r="G246" s="306"/>
      <c r="H246" s="301"/>
      <c r="I246" s="302"/>
      <c r="J246" s="302"/>
    </row>
    <row r="247" spans="2:11" ht="13.5" hidden="1" customHeight="1" x14ac:dyDescent="0.35">
      <c r="B247" s="115" t="s">
        <v>223</v>
      </c>
      <c r="C247" s="124"/>
      <c r="D247" s="115" t="s">
        <v>224</v>
      </c>
      <c r="E247" s="125"/>
      <c r="F247" s="115" t="s">
        <v>225</v>
      </c>
      <c r="G247" s="126"/>
      <c r="H247" s="301"/>
      <c r="I247" s="302"/>
      <c r="J247" s="302"/>
    </row>
    <row r="248" spans="2:11" ht="6" hidden="1" customHeight="1" x14ac:dyDescent="0.35">
      <c r="B248" s="110"/>
      <c r="C248" s="110"/>
      <c r="D248" s="110"/>
      <c r="E248" s="110"/>
      <c r="F248" s="110"/>
      <c r="G248" s="110"/>
      <c r="H248" s="110"/>
      <c r="I248" s="110"/>
      <c r="J248" s="110"/>
    </row>
    <row r="249" spans="2:11" ht="13.5" hidden="1" customHeight="1" x14ac:dyDescent="0.35">
      <c r="B249" s="280" t="s">
        <v>226</v>
      </c>
      <c r="C249" s="280"/>
      <c r="D249" s="280"/>
      <c r="E249" s="280"/>
      <c r="F249" s="280"/>
      <c r="G249" s="280"/>
      <c r="H249" s="280"/>
      <c r="I249" s="280"/>
      <c r="J249" s="280"/>
    </row>
    <row r="250" spans="2:11" ht="13.5" hidden="1" customHeight="1" x14ac:dyDescent="0.35">
      <c r="B250" s="280" t="s">
        <v>227</v>
      </c>
      <c r="C250" s="280"/>
      <c r="D250" s="280"/>
      <c r="E250" s="280"/>
      <c r="F250" s="280"/>
      <c r="G250" s="280"/>
      <c r="H250" s="280"/>
      <c r="I250" s="280"/>
      <c r="J250" s="280"/>
    </row>
    <row r="251" spans="2:11" ht="8.15" hidden="1" customHeight="1" x14ac:dyDescent="0.35">
      <c r="B251" s="110"/>
      <c r="C251" s="110"/>
      <c r="D251" s="110"/>
      <c r="E251" s="110"/>
      <c r="F251" s="110"/>
      <c r="G251" s="110"/>
      <c r="H251" s="110"/>
      <c r="I251" s="110"/>
      <c r="J251" s="110"/>
    </row>
    <row r="252" spans="2:11" ht="18" customHeight="1" thickBot="1" x14ac:dyDescent="0.4">
      <c r="B252" s="200" t="s">
        <v>253</v>
      </c>
      <c r="C252" s="201"/>
      <c r="D252" s="201"/>
      <c r="E252" s="201"/>
      <c r="F252" s="201"/>
      <c r="G252" s="201"/>
      <c r="H252" s="201"/>
      <c r="I252" s="201"/>
      <c r="J252" s="202"/>
    </row>
    <row r="253" spans="2:11" ht="4.5" customHeight="1" x14ac:dyDescent="0.35"/>
    <row r="254" spans="2:11" ht="10.5" customHeight="1" x14ac:dyDescent="0.35">
      <c r="B254" s="247" t="str">
        <f ca="1">IF(K256&gt;0,CONCATENATE("There are ",K256," issues with this application form - see details below. Please do not submit until resolved!  Call 1800 230 737 for assistance."),"Everything appears to be in order with this application.")</f>
        <v>There are 15 issues with this application form - see details below. Please do not submit until resolved!  Call 1800 230 737 for assistance.</v>
      </c>
      <c r="C254" s="247"/>
      <c r="D254" s="247"/>
      <c r="E254" s="247"/>
      <c r="F254" s="247"/>
      <c r="G254" s="247"/>
      <c r="H254" s="247"/>
      <c r="I254" s="247"/>
      <c r="J254" s="247"/>
    </row>
    <row r="255" spans="2:11" ht="10.5" customHeight="1" thickBot="1" x14ac:dyDescent="0.4">
      <c r="B255" s="247"/>
      <c r="C255" s="247"/>
      <c r="D255" s="247"/>
      <c r="E255" s="247"/>
      <c r="F255" s="247"/>
      <c r="G255" s="247"/>
      <c r="H255" s="247"/>
      <c r="I255" s="247"/>
      <c r="J255" s="247"/>
    </row>
    <row r="256" spans="2:11" ht="24.75" customHeight="1" thickBot="1" x14ac:dyDescent="0.4">
      <c r="B256" s="244" t="s">
        <v>229</v>
      </c>
      <c r="C256" s="245"/>
      <c r="D256" s="245"/>
      <c r="E256" s="245"/>
      <c r="F256" s="245"/>
      <c r="G256" s="245"/>
      <c r="H256" s="245"/>
      <c r="I256" s="246"/>
      <c r="K256" s="56">
        <f ca="1">SUM(K258:K330,L273:N275,L289:P301)</f>
        <v>15</v>
      </c>
    </row>
    <row r="257" spans="2:11" ht="7.5" customHeight="1" x14ac:dyDescent="0.35"/>
    <row r="258" spans="2:11" ht="12.75" customHeight="1" x14ac:dyDescent="0.35">
      <c r="B258" s="37" t="s">
        <v>67</v>
      </c>
      <c r="C258" s="52" t="str">
        <f>IF(D8="","Please provide your company name for use on the certificate and invoice.","done")</f>
        <v>Please provide your company name for use on the certificate and invoice.</v>
      </c>
      <c r="K258" s="56">
        <f>IF(C258="done",0,1)</f>
        <v>1</v>
      </c>
    </row>
    <row r="259" spans="2:11" ht="12.75" customHeight="1" x14ac:dyDescent="0.35">
      <c r="B259" s="37" t="s">
        <v>68</v>
      </c>
      <c r="C259" s="52" t="str">
        <f>IF(D9="","Please complete postal address section for easier client identification.","done")</f>
        <v>Please complete postal address section for easier client identification.</v>
      </c>
      <c r="K259" s="56">
        <f t="shared" ref="K259:K269" si="11">IF(C259="done",0,1)</f>
        <v>1</v>
      </c>
    </row>
    <row r="260" spans="2:11" ht="12.75" customHeight="1" x14ac:dyDescent="0.35">
      <c r="B260" s="37" t="s">
        <v>69</v>
      </c>
      <c r="C260" s="52" t="str">
        <f>IF(D10="","Please indicate the Town, Suburb or City of Administration Company.","done")</f>
        <v>Please indicate the Town, Suburb or City of Administration Company.</v>
      </c>
      <c r="K260" s="56">
        <f t="shared" si="11"/>
        <v>1</v>
      </c>
    </row>
    <row r="261" spans="2:11" ht="12.75" customHeight="1" x14ac:dyDescent="0.35">
      <c r="B261" s="37" t="s">
        <v>70</v>
      </c>
      <c r="C261" s="52" t="str">
        <f>IF(H10="","Please select the STATE of the Administration Company","done")</f>
        <v>Please select the STATE of the Administration Company</v>
      </c>
      <c r="K261" s="56">
        <f t="shared" si="11"/>
        <v>1</v>
      </c>
    </row>
    <row r="262" spans="2:11" ht="12.75" customHeight="1" x14ac:dyDescent="0.35">
      <c r="B262" s="37" t="s">
        <v>71</v>
      </c>
      <c r="C262" s="52" t="str">
        <f>IF(J10="","Please indicate the correct POST CODE for the Administration Company.","done")</f>
        <v>Please indicate the correct POST CODE for the Administration Company.</v>
      </c>
      <c r="K262" s="56">
        <f t="shared" si="11"/>
        <v>1</v>
      </c>
    </row>
    <row r="263" spans="2:11" ht="12.75" customHeight="1" x14ac:dyDescent="0.35">
      <c r="B263" s="37" t="s">
        <v>72</v>
      </c>
      <c r="C263" s="52" t="str">
        <f>IF(J9="","Please enter the correct PHONE NUMBER to telephone the Contact Person.","done")</f>
        <v>Please enter the correct PHONE NUMBER to telephone the Contact Person.</v>
      </c>
      <c r="K263" s="56">
        <f t="shared" si="11"/>
        <v>1</v>
      </c>
    </row>
    <row r="264" spans="2:11" ht="12.75" customHeight="1" x14ac:dyDescent="0.35">
      <c r="B264" s="37" t="s">
        <v>73</v>
      </c>
      <c r="C264" s="52" t="str">
        <f>IF(D19="","Please provide the name of the individual we should contact if further details are required.",IF(NOT(ISERROR(FIND("@",D19))),"An email address appears to have been entered rather than the NAME of the person to Contact - please check cell D19",IF(H19="","Please provide the email address of the contact person so we can request more information if necessary.","done")))</f>
        <v>Please provide the name of the individual we should contact if further details are required.</v>
      </c>
      <c r="K264" s="56">
        <f t="shared" si="11"/>
        <v>1</v>
      </c>
    </row>
    <row r="265" spans="2:11" ht="12.75" customHeight="1" x14ac:dyDescent="0.35">
      <c r="B265" s="37" t="s">
        <v>74</v>
      </c>
      <c r="C265" s="52" t="str">
        <f>IF(H19="","We also require an email address (usually of the contact person) for somewhere to email the completed certificate and invoice.",IF(ISERROR(FIND("@",H19)),"The entry in cell H19 does not appear to be an email address.  Please enter the email address of the Contact Person in H19","done"))</f>
        <v>We also require an email address (usually of the contact person) for somewhere to email the completed certificate and invoice.</v>
      </c>
      <c r="K265" s="56">
        <f t="shared" si="11"/>
        <v>1</v>
      </c>
    </row>
    <row r="266" spans="2:11" ht="12.75" customHeight="1" x14ac:dyDescent="0.35">
      <c r="B266" s="37" t="s">
        <v>75</v>
      </c>
      <c r="C266" s="52" t="str">
        <f>IF(AND(D20&lt;&gt;"",H20=""),"Please provide the email address of the additional person for us to email the certificate and invoice to.",IF(AND(H20&lt;&gt;"",ISERROR(FIND("@",H20))),"The entry in Cell H20 (Additional Email Address) does not appear to be an email address.  Please check Cell H20.","done"))</f>
        <v>done</v>
      </c>
      <c r="K266" s="56">
        <f t="shared" si="11"/>
        <v>0</v>
      </c>
    </row>
    <row r="267" spans="2:11" ht="6" customHeight="1" x14ac:dyDescent="0.35"/>
    <row r="268" spans="2:11" ht="12.75" customHeight="1" x14ac:dyDescent="0.35">
      <c r="B268" s="28" t="s">
        <v>38</v>
      </c>
      <c r="C268" s="52" t="str">
        <f>IF(D24="","Please provide the name of the Superannuation Fund in question","done")</f>
        <v>Please provide the name of the Superannuation Fund in question</v>
      </c>
      <c r="K268" s="56">
        <f t="shared" si="11"/>
        <v>1</v>
      </c>
    </row>
    <row r="269" spans="2:11" ht="12.75" customHeight="1" x14ac:dyDescent="0.35">
      <c r="B269" s="28" t="s">
        <v>39</v>
      </c>
      <c r="C269" s="52" t="str">
        <f>IF(AND(D25="",D26=""),"Please provide the full name of at least one of the Trustees or the name of the Corporate Trustee",IF(AND(D25&lt;&gt;"",D26&lt;&gt;""),"If you have entered the name of the Corporate Trustee, please do not worry about entering the names of individual trustees.",IF(OR(NOT(ISERROR(FIND("ACN",D25))),NOT(ISERROR(FIND("CAN",D25))),NOT(ISERROR(FIND("A.C.N.",D25)))),"Unless the Corporate Trustee Name includes ACN, please do not worry about including the ACN details in the name of the Corporate Trustee","done")))</f>
        <v>Please provide the full name of at least one of the Trustees or the name of the Corporate Trustee</v>
      </c>
      <c r="K269" s="56">
        <f t="shared" si="11"/>
        <v>1</v>
      </c>
    </row>
    <row r="270" spans="2:11" ht="12.75" customHeight="1" x14ac:dyDescent="0.35">
      <c r="B270" s="28" t="s">
        <v>40</v>
      </c>
      <c r="C270" s="52" t="str">
        <f>IF(finyear="","YOU MUST INDICATE WHICH FINANCIAL YEAR THIS IS FOR","done")</f>
        <v>done</v>
      </c>
    </row>
    <row r="271" spans="2:11" ht="6" customHeight="1" x14ac:dyDescent="0.35"/>
    <row r="272" spans="2:11" ht="12.75" customHeight="1" x14ac:dyDescent="0.35">
      <c r="C272" s="39" t="s">
        <v>78</v>
      </c>
      <c r="D272" s="39" t="s">
        <v>79</v>
      </c>
      <c r="E272" s="39" t="s">
        <v>80</v>
      </c>
      <c r="F272" s="39" t="s">
        <v>81</v>
      </c>
    </row>
    <row r="273" spans="2:14" ht="15.75" customHeight="1" x14ac:dyDescent="0.35">
      <c r="B273" s="38" t="s">
        <v>76</v>
      </c>
      <c r="C273" s="52" t="str">
        <f>IF(OR(D36="",mname1=""),"Missing name","done")</f>
        <v>Missing name</v>
      </c>
      <c r="D273" s="52" t="str">
        <f>IF(E96&gt;0,IF(OR(mname2="",E36=""),"Missing name","done"),"done")</f>
        <v>done</v>
      </c>
      <c r="E273" s="52" t="str">
        <f>IF(F96&gt;0,IF(OR(mname3="",F36=""),"Missing name","done"),"done")</f>
        <v>done</v>
      </c>
      <c r="F273" s="52" t="str">
        <f>IF(G96&gt;0,IF(OR(mname4="",G36=""),"Missing name","done"),"done")</f>
        <v>done</v>
      </c>
      <c r="G273" s="45" t="s">
        <v>107</v>
      </c>
      <c r="K273" s="56">
        <f t="shared" ref="K273:N274" si="12">IF(C273="done",0,1)</f>
        <v>1</v>
      </c>
      <c r="L273" s="56">
        <f t="shared" si="12"/>
        <v>0</v>
      </c>
      <c r="M273" s="56">
        <f t="shared" si="12"/>
        <v>0</v>
      </c>
      <c r="N273" s="56">
        <f t="shared" si="12"/>
        <v>0</v>
      </c>
    </row>
    <row r="274" spans="2:14" ht="12.75" customHeight="1" x14ac:dyDescent="0.35">
      <c r="B274" s="38" t="s">
        <v>77</v>
      </c>
      <c r="C274" s="52" t="str">
        <f>IF(AND(D35&lt;&gt;"",D37=""),"DoB Missing","done")</f>
        <v>done</v>
      </c>
      <c r="D274" s="52" t="str">
        <f>IF(AND(E35&lt;&gt;"",E37=""),"DoB Missing","done")</f>
        <v>done</v>
      </c>
      <c r="E274" s="52" t="str">
        <f>IF(AND(F35&lt;&gt;"",F37=""),"DoB Missing","done")</f>
        <v>done</v>
      </c>
      <c r="F274" s="52" t="str">
        <f>IF(AND(G35&lt;&gt;"",G37=""),"DoB Missing","done")</f>
        <v>done</v>
      </c>
      <c r="G274" s="45" t="s">
        <v>106</v>
      </c>
      <c r="K274" s="56">
        <f t="shared" si="12"/>
        <v>0</v>
      </c>
      <c r="L274" s="56">
        <f t="shared" si="12"/>
        <v>0</v>
      </c>
      <c r="M274" s="56">
        <f t="shared" si="12"/>
        <v>0</v>
      </c>
      <c r="N274" s="56">
        <f t="shared" si="12"/>
        <v>0</v>
      </c>
    </row>
    <row r="275" spans="2:14" ht="12.75" customHeight="1" x14ac:dyDescent="0.35">
      <c r="B275" s="38" t="s">
        <v>125</v>
      </c>
      <c r="C275" s="52" t="str">
        <f>IF(AND(D35&lt;&gt;"",D38=""),"Gender Missing","done")</f>
        <v>done</v>
      </c>
      <c r="D275" s="52" t="str">
        <f>IF(AND(E35&lt;&gt;"",E38=""),"Gender Missing","done")</f>
        <v>done</v>
      </c>
      <c r="E275" s="52" t="str">
        <f>IF(AND(F35&lt;&gt;"",F38=""),"Gender Missing","done")</f>
        <v>done</v>
      </c>
      <c r="F275" s="52" t="str">
        <f>IF(AND(G35&lt;&gt;"",G38=""),"Gender Missing","done")</f>
        <v>done</v>
      </c>
      <c r="G275" s="45" t="s">
        <v>126</v>
      </c>
      <c r="K275" s="56">
        <f>IF(C275="done",0,1)</f>
        <v>0</v>
      </c>
      <c r="L275" s="56">
        <f>IF(D275="done",0,1)</f>
        <v>0</v>
      </c>
      <c r="M275" s="56">
        <f>IF(E275="done",0,1)</f>
        <v>0</v>
      </c>
      <c r="N275" s="56">
        <f>IF(F275="done",0,1)</f>
        <v>0</v>
      </c>
    </row>
    <row r="276" spans="2:14" ht="6" customHeight="1" x14ac:dyDescent="0.35"/>
    <row r="277" spans="2:14" ht="12.75" customHeight="1" x14ac:dyDescent="0.35">
      <c r="B277" s="41" t="s">
        <v>29</v>
      </c>
      <c r="C277" s="52" t="str">
        <f>IF(AND(I35="No",res&gt;0),"The indication is that there is no reserve, but an opening balance has been shown for the reserve.","done")</f>
        <v>done</v>
      </c>
      <c r="K277" s="56">
        <f>IF(C277="done",0,1)</f>
        <v>0</v>
      </c>
    </row>
    <row r="278" spans="2:14" ht="12.75" customHeight="1" x14ac:dyDescent="0.35">
      <c r="B278" s="41" t="s">
        <v>82</v>
      </c>
      <c r="C278" s="199" t="str">
        <f>IF(OR(COUNTBLANK(C$67:C$81)=15,SUM(H117,H124,H129)=0),"There don't appear to be any DEFINED BENEFIT PENSIONS in this application form. Please complete the 'DEFINED BENEFIT PENSION DETAILS' section, or use the Account-Based form if there were no DBPs","done")</f>
        <v>There don't appear to be any DEFINED BENEFIT PENSIONS in this application form. Please complete the 'DEFINED BENEFIT PENSION DETAILS' section, or use the Account-Based form if there were no DBPs</v>
      </c>
      <c r="D278" s="199"/>
      <c r="E278" s="199"/>
      <c r="F278" s="199"/>
      <c r="G278" s="199"/>
      <c r="H278" s="199"/>
      <c r="I278" s="199"/>
      <c r="J278" s="199"/>
      <c r="K278" s="56">
        <f>IF(C278="done",0,1)</f>
        <v>1</v>
      </c>
    </row>
    <row r="279" spans="2:14" ht="12.75" customHeight="1" x14ac:dyDescent="0.35">
      <c r="B279" s="41"/>
      <c r="C279" s="199"/>
      <c r="D279" s="199"/>
      <c r="E279" s="199"/>
      <c r="F279" s="199"/>
      <c r="G279" s="199"/>
      <c r="H279" s="199"/>
      <c r="I279" s="199"/>
      <c r="J279" s="199"/>
      <c r="K279" s="56"/>
    </row>
    <row r="280" spans="2:14" ht="12.75" hidden="1" customHeight="1" x14ac:dyDescent="0.35">
      <c r="B280" s="41" t="s">
        <v>193</v>
      </c>
      <c r="C280" s="52"/>
      <c r="K280" s="56"/>
    </row>
    <row r="281" spans="2:14" ht="12.75" hidden="1" customHeight="1" x14ac:dyDescent="0.35">
      <c r="B281" s="41" t="s">
        <v>194</v>
      </c>
      <c r="C281" s="52" t="str">
        <f>IF(AND(I50="Yes",H52&lt;1),"Total accumulated SG Contributions value has not been shown - this information is required.","done")</f>
        <v>done</v>
      </c>
      <c r="K281" s="56">
        <f>IF(C281="done",0,1)</f>
        <v>0</v>
      </c>
    </row>
    <row r="282" spans="2:14" ht="12.75" hidden="1" customHeight="1" x14ac:dyDescent="0.35">
      <c r="B282" s="41" t="s">
        <v>195</v>
      </c>
      <c r="C282" s="52" t="str">
        <f>IF(AND(I50="Yes",H53="No"),"Please ensure that we receive a copy of the most recent Funding and Solvency Certificate asap.","done")</f>
        <v>done</v>
      </c>
      <c r="K282" s="56">
        <f>IF(C282="done",0,1)</f>
        <v>0</v>
      </c>
    </row>
    <row r="283" spans="2:14" ht="12.75" hidden="1" customHeight="1" x14ac:dyDescent="0.35">
      <c r="B283" s="41"/>
      <c r="C283" s="52"/>
      <c r="K283" s="56"/>
    </row>
    <row r="284" spans="2:14" ht="12.75" customHeight="1" x14ac:dyDescent="0.35">
      <c r="B284" s="41" t="s">
        <v>196</v>
      </c>
      <c r="C284" s="52" t="str">
        <f>IF(OR(AND(mname1&lt;&gt;"",C60=""),AND(mname2&lt;&gt;"",D60=""),AND(mname3&lt;&gt;"",E60=""),AND(mname4&lt;&gt;"",F60="")),"Please indicate the long-term Investment Strategy for each member",IF(AND(OR(C60="Same for whole Fund",D60="Same for whole Fund",E60="Same for whole Fund",F60="Same for whole Fund"),J284&lt;2),"Please check long-term Investment Strategy choices.","done"))</f>
        <v>done</v>
      </c>
      <c r="D284" s="52"/>
      <c r="E284" s="52"/>
      <c r="F284" s="52"/>
      <c r="J284" s="148">
        <f>4-COUNTBLANK(C60:F60)</f>
        <v>0</v>
      </c>
      <c r="K284" s="56">
        <f>IF(C284="done",0,1)</f>
        <v>0</v>
      </c>
    </row>
    <row r="285" spans="2:14" ht="12.75" customHeight="1" x14ac:dyDescent="0.35">
      <c r="B285" s="41"/>
      <c r="C285" s="52"/>
      <c r="J285" s="149"/>
      <c r="K285" s="56"/>
    </row>
    <row r="286" spans="2:14" ht="12.75" customHeight="1" x14ac:dyDescent="0.35">
      <c r="B286" s="41"/>
      <c r="C286" s="52"/>
      <c r="K286" s="56"/>
    </row>
    <row r="287" spans="2:14" ht="12.75" customHeight="1" x14ac:dyDescent="0.35">
      <c r="B287" s="41"/>
      <c r="C287" s="96">
        <f t="shared" ref="C287:H287" si="13">SUM($R$101:$R$110)</f>
        <v>0</v>
      </c>
      <c r="D287" s="96">
        <f t="shared" si="13"/>
        <v>0</v>
      </c>
      <c r="E287" s="96">
        <f t="shared" si="13"/>
        <v>0</v>
      </c>
      <c r="F287" s="96">
        <f t="shared" si="13"/>
        <v>0</v>
      </c>
      <c r="G287" s="96">
        <f t="shared" si="13"/>
        <v>0</v>
      </c>
      <c r="H287" s="96">
        <f t="shared" si="13"/>
        <v>0</v>
      </c>
      <c r="K287" s="56"/>
    </row>
    <row r="288" spans="2:14" ht="12.75" customHeight="1" x14ac:dyDescent="0.35">
      <c r="B288" s="41" t="s">
        <v>197</v>
      </c>
      <c r="C288" s="99" t="s">
        <v>131</v>
      </c>
      <c r="D288" s="99" t="s">
        <v>132</v>
      </c>
      <c r="E288" s="99" t="s">
        <v>133</v>
      </c>
      <c r="F288" s="99" t="s">
        <v>134</v>
      </c>
      <c r="G288" s="99" t="s">
        <v>135</v>
      </c>
      <c r="H288" s="99" t="s">
        <v>136</v>
      </c>
      <c r="K288" s="56"/>
    </row>
    <row r="289" spans="2:16" ht="12.75" customHeight="1" x14ac:dyDescent="0.35">
      <c r="B289" s="41" t="s">
        <v>198</v>
      </c>
      <c r="C289" s="100" t="str">
        <f t="shared" ref="C289:H289" si="14">IF(AND(COUNTBLANK(C$67:C$81)&lt;13,C67=""),"Name missing","done")</f>
        <v>done</v>
      </c>
      <c r="D289" s="100" t="str">
        <f t="shared" si="14"/>
        <v>done</v>
      </c>
      <c r="E289" s="100" t="str">
        <f t="shared" si="14"/>
        <v>done</v>
      </c>
      <c r="F289" s="100" t="str">
        <f t="shared" si="14"/>
        <v>done</v>
      </c>
      <c r="G289" s="100" t="str">
        <f t="shared" si="14"/>
        <v>done</v>
      </c>
      <c r="H289" s="100" t="str">
        <f t="shared" si="14"/>
        <v>done</v>
      </c>
      <c r="K289" s="56">
        <f t="shared" ref="K289:P301" si="15">IF(C289="done",0,1)</f>
        <v>0</v>
      </c>
      <c r="L289" s="56">
        <f t="shared" si="15"/>
        <v>0</v>
      </c>
      <c r="M289" s="56">
        <f t="shared" si="15"/>
        <v>0</v>
      </c>
      <c r="N289" s="56">
        <f t="shared" si="15"/>
        <v>0</v>
      </c>
      <c r="O289" s="56">
        <f t="shared" si="15"/>
        <v>0</v>
      </c>
      <c r="P289" s="56">
        <f t="shared" si="15"/>
        <v>0</v>
      </c>
    </row>
    <row r="290" spans="2:16" ht="12.75" customHeight="1" x14ac:dyDescent="0.35">
      <c r="B290" s="41" t="s">
        <v>199</v>
      </c>
      <c r="C290" s="100" t="str">
        <f t="shared" ref="C290:H290" si="16">IF(AND(COUNTBLANK(C$67:C$81)&lt;13,C68=""),"Date missing","done")</f>
        <v>done</v>
      </c>
      <c r="D290" s="100" t="str">
        <f t="shared" si="16"/>
        <v>done</v>
      </c>
      <c r="E290" s="100" t="str">
        <f t="shared" si="16"/>
        <v>done</v>
      </c>
      <c r="F290" s="100" t="str">
        <f t="shared" si="16"/>
        <v>done</v>
      </c>
      <c r="G290" s="100" t="str">
        <f t="shared" si="16"/>
        <v>done</v>
      </c>
      <c r="H290" s="100" t="str">
        <f t="shared" si="16"/>
        <v>done</v>
      </c>
      <c r="K290" s="56">
        <f t="shared" si="15"/>
        <v>0</v>
      </c>
      <c r="L290" s="56">
        <f t="shared" si="15"/>
        <v>0</v>
      </c>
      <c r="M290" s="56">
        <f t="shared" si="15"/>
        <v>0</v>
      </c>
      <c r="N290" s="56">
        <f t="shared" si="15"/>
        <v>0</v>
      </c>
      <c r="O290" s="56">
        <f t="shared" si="15"/>
        <v>0</v>
      </c>
      <c r="P290" s="56">
        <f t="shared" si="15"/>
        <v>0</v>
      </c>
    </row>
    <row r="291" spans="2:16" ht="38.25" customHeight="1" x14ac:dyDescent="0.35">
      <c r="B291" s="41" t="s">
        <v>200</v>
      </c>
      <c r="C291" s="101" t="str">
        <f t="shared" ref="C291:H291" si="17">IF(AND(COUNTBLANK(C$67:C$81)&lt;13,C69&lt;&gt;"",C287=0),"No ceased pension shown in internal transfers","done")</f>
        <v>done</v>
      </c>
      <c r="D291" s="101" t="str">
        <f t="shared" si="17"/>
        <v>done</v>
      </c>
      <c r="E291" s="101" t="str">
        <f t="shared" si="17"/>
        <v>done</v>
      </c>
      <c r="F291" s="101" t="str">
        <f t="shared" si="17"/>
        <v>done</v>
      </c>
      <c r="G291" s="101" t="str">
        <f t="shared" si="17"/>
        <v>done</v>
      </c>
      <c r="H291" s="101" t="str">
        <f t="shared" si="17"/>
        <v>done</v>
      </c>
      <c r="K291" s="56">
        <f t="shared" si="15"/>
        <v>0</v>
      </c>
      <c r="L291" s="56">
        <f t="shared" si="15"/>
        <v>0</v>
      </c>
      <c r="M291" s="56">
        <f t="shared" si="15"/>
        <v>0</v>
      </c>
      <c r="N291" s="56">
        <f t="shared" si="15"/>
        <v>0</v>
      </c>
      <c r="O291" s="56">
        <f t="shared" si="15"/>
        <v>0</v>
      </c>
      <c r="P291" s="56">
        <f t="shared" si="15"/>
        <v>0</v>
      </c>
    </row>
    <row r="292" spans="2:16" ht="12.75" customHeight="1" x14ac:dyDescent="0.35">
      <c r="B292" s="41" t="s">
        <v>149</v>
      </c>
      <c r="C292" s="100" t="str">
        <f>IF(COUNTBLANK(C$67:C$81)=15,"NoPens",IF(AND(COUNTBLANK(C$67:C$81)&lt;13,OR(AND(LEFT(C70,1)="S",C78&gt;0),AND(LEFT(C70,1)="R",C78=0),AND(LEFT(C70,1)="T",ISERR(VALUE(LEFT(C76,1)))))),"Design incorrect","done"))</f>
        <v>NoPens</v>
      </c>
      <c r="D292" s="100" t="str">
        <f t="shared" ref="D292:H292" si="18">IF(AND(COUNTBLANK(D$67:D$81)&lt;13,OR(AND(LEFT(D70,1)="S",D78&gt;0),AND(LEFT(D70,1)="R",D78=0),AND(LEFT(D70,1)="T",ISERR(VALUE(LEFT(D76,1)))))),"Design incorrect","done")</f>
        <v>done</v>
      </c>
      <c r="E292" s="100" t="str">
        <f t="shared" si="18"/>
        <v>done</v>
      </c>
      <c r="F292" s="100" t="str">
        <f t="shared" si="18"/>
        <v>done</v>
      </c>
      <c r="G292" s="100" t="str">
        <f t="shared" si="18"/>
        <v>done</v>
      </c>
      <c r="H292" s="100" t="str">
        <f t="shared" si="18"/>
        <v>done</v>
      </c>
      <c r="I292" s="100"/>
      <c r="K292" s="56">
        <f t="shared" si="15"/>
        <v>1</v>
      </c>
      <c r="L292" s="56">
        <f t="shared" si="15"/>
        <v>0</v>
      </c>
      <c r="M292" s="56">
        <f t="shared" si="15"/>
        <v>0</v>
      </c>
      <c r="N292" s="56">
        <f t="shared" si="15"/>
        <v>0</v>
      </c>
      <c r="O292" s="56">
        <f t="shared" si="15"/>
        <v>0</v>
      </c>
      <c r="P292" s="56">
        <f t="shared" si="15"/>
        <v>0</v>
      </c>
    </row>
    <row r="293" spans="2:16" ht="12.75" customHeight="1" x14ac:dyDescent="0.35">
      <c r="B293" s="41" t="s">
        <v>201</v>
      </c>
      <c r="C293" s="100" t="str">
        <f t="shared" ref="C293:H293" si="19">IF(AND(COUNTBLANK(C$67:C$81)&lt;13,OR(AND(RIGHT(C71,1)="e",RIGHT(C70,1)="m"),AND(RIGHT(C71,1)="y",RIGHT(C70,1)&lt;&gt;"m"))),"Wrong SIS Spec","done")</f>
        <v>done</v>
      </c>
      <c r="D293" s="100" t="str">
        <f t="shared" si="19"/>
        <v>done</v>
      </c>
      <c r="E293" s="100" t="str">
        <f t="shared" si="19"/>
        <v>done</v>
      </c>
      <c r="F293" s="100" t="str">
        <f t="shared" si="19"/>
        <v>done</v>
      </c>
      <c r="G293" s="100" t="str">
        <f t="shared" si="19"/>
        <v>done</v>
      </c>
      <c r="H293" s="100" t="str">
        <f t="shared" si="19"/>
        <v>done</v>
      </c>
      <c r="K293" s="56">
        <f t="shared" si="15"/>
        <v>0</v>
      </c>
      <c r="L293" s="56">
        <f t="shared" si="15"/>
        <v>0</v>
      </c>
      <c r="M293" s="56">
        <f t="shared" si="15"/>
        <v>0</v>
      </c>
      <c r="N293" s="56">
        <f t="shared" si="15"/>
        <v>0</v>
      </c>
      <c r="O293" s="56">
        <f t="shared" si="15"/>
        <v>0</v>
      </c>
      <c r="P293" s="56">
        <f t="shared" si="15"/>
        <v>0</v>
      </c>
    </row>
    <row r="294" spans="2:16" ht="12.75" customHeight="1" x14ac:dyDescent="0.35">
      <c r="B294" s="41" t="s">
        <v>139</v>
      </c>
      <c r="C294" s="100" t="str">
        <f t="shared" ref="C294:H294" si="20">IF(AND(COUNTBLANK(C$67:C$81)&lt;13,C73=""),"No Paymt Amt","done")</f>
        <v>done</v>
      </c>
      <c r="D294" s="100" t="str">
        <f t="shared" si="20"/>
        <v>done</v>
      </c>
      <c r="E294" s="100" t="str">
        <f t="shared" si="20"/>
        <v>done</v>
      </c>
      <c r="F294" s="100" t="str">
        <f t="shared" si="20"/>
        <v>done</v>
      </c>
      <c r="G294" s="100" t="str">
        <f t="shared" si="20"/>
        <v>done</v>
      </c>
      <c r="H294" s="100" t="str">
        <f t="shared" si="20"/>
        <v>done</v>
      </c>
      <c r="K294" s="56">
        <f t="shared" si="15"/>
        <v>0</v>
      </c>
      <c r="L294" s="56">
        <f t="shared" si="15"/>
        <v>0</v>
      </c>
      <c r="M294" s="56">
        <f t="shared" si="15"/>
        <v>0</v>
      </c>
      <c r="N294" s="56">
        <f t="shared" si="15"/>
        <v>0</v>
      </c>
      <c r="O294" s="56">
        <f t="shared" si="15"/>
        <v>0</v>
      </c>
      <c r="P294" s="56">
        <f t="shared" si="15"/>
        <v>0</v>
      </c>
    </row>
    <row r="295" spans="2:16" ht="12.75" customHeight="1" x14ac:dyDescent="0.35">
      <c r="B295" s="41" t="s">
        <v>140</v>
      </c>
      <c r="C295" s="100" t="str">
        <f t="shared" ref="C295:H295" si="21">IF(AND(COUNTBLANK(C$67:C$81)&lt;13,C74=""),"No Indexation","done")</f>
        <v>done</v>
      </c>
      <c r="D295" s="100" t="str">
        <f t="shared" si="21"/>
        <v>done</v>
      </c>
      <c r="E295" s="100" t="str">
        <f t="shared" si="21"/>
        <v>done</v>
      </c>
      <c r="F295" s="100" t="str">
        <f t="shared" si="21"/>
        <v>done</v>
      </c>
      <c r="G295" s="100" t="str">
        <f t="shared" si="21"/>
        <v>done</v>
      </c>
      <c r="H295" s="100" t="str">
        <f t="shared" si="21"/>
        <v>done</v>
      </c>
      <c r="K295" s="56">
        <f t="shared" si="15"/>
        <v>0</v>
      </c>
      <c r="L295" s="56">
        <f t="shared" si="15"/>
        <v>0</v>
      </c>
      <c r="M295" s="56">
        <f t="shared" si="15"/>
        <v>0</v>
      </c>
      <c r="N295" s="56">
        <f t="shared" si="15"/>
        <v>0</v>
      </c>
      <c r="O295" s="56">
        <f t="shared" si="15"/>
        <v>0</v>
      </c>
      <c r="P295" s="56">
        <f t="shared" si="15"/>
        <v>0</v>
      </c>
    </row>
    <row r="296" spans="2:16" ht="12.75" customHeight="1" x14ac:dyDescent="0.35">
      <c r="B296" s="41" t="s">
        <v>146</v>
      </c>
      <c r="C296" s="100" t="str">
        <f t="shared" ref="C296:H296" si="22">IF(AND(COUNTBLANK(C$67:C$81)&lt;13,C74&gt;0,C75=""),"Guaranteed?","done")</f>
        <v>done</v>
      </c>
      <c r="D296" s="100" t="str">
        <f t="shared" si="22"/>
        <v>done</v>
      </c>
      <c r="E296" s="100" t="str">
        <f t="shared" si="22"/>
        <v>done</v>
      </c>
      <c r="F296" s="100" t="str">
        <f t="shared" si="22"/>
        <v>done</v>
      </c>
      <c r="G296" s="100" t="str">
        <f t="shared" si="22"/>
        <v>done</v>
      </c>
      <c r="H296" s="100" t="str">
        <f t="shared" si="22"/>
        <v>done</v>
      </c>
      <c r="K296" s="56">
        <f t="shared" si="15"/>
        <v>0</v>
      </c>
      <c r="L296" s="56">
        <f t="shared" si="15"/>
        <v>0</v>
      </c>
      <c r="M296" s="56">
        <f t="shared" si="15"/>
        <v>0</v>
      </c>
      <c r="N296" s="56">
        <f t="shared" si="15"/>
        <v>0</v>
      </c>
      <c r="O296" s="56">
        <f t="shared" si="15"/>
        <v>0</v>
      </c>
      <c r="P296" s="56">
        <f t="shared" si="15"/>
        <v>0</v>
      </c>
    </row>
    <row r="297" spans="2:16" ht="25.5" customHeight="1" x14ac:dyDescent="0.35">
      <c r="B297" s="102" t="s">
        <v>141</v>
      </c>
      <c r="C297" s="100" t="str">
        <f t="shared" ref="C297:H297" si="23">IF(AND(COUNTBLANK(C$67:C$81)&lt;13,C76=""),"No Expiry shown","done")</f>
        <v>done</v>
      </c>
      <c r="D297" s="100" t="str">
        <f t="shared" si="23"/>
        <v>done</v>
      </c>
      <c r="E297" s="100" t="str">
        <f t="shared" si="23"/>
        <v>done</v>
      </c>
      <c r="F297" s="100" t="str">
        <f t="shared" si="23"/>
        <v>done</v>
      </c>
      <c r="G297" s="100" t="str">
        <f t="shared" si="23"/>
        <v>done</v>
      </c>
      <c r="H297" s="100" t="str">
        <f t="shared" si="23"/>
        <v>done</v>
      </c>
      <c r="K297" s="56">
        <f t="shared" si="15"/>
        <v>0</v>
      </c>
      <c r="L297" s="56">
        <f t="shared" si="15"/>
        <v>0</v>
      </c>
      <c r="M297" s="56">
        <f t="shared" si="15"/>
        <v>0</v>
      </c>
      <c r="N297" s="56">
        <f t="shared" si="15"/>
        <v>0</v>
      </c>
      <c r="O297" s="56">
        <f t="shared" si="15"/>
        <v>0</v>
      </c>
      <c r="P297" s="56">
        <f t="shared" si="15"/>
        <v>0</v>
      </c>
    </row>
    <row r="298" spans="2:16" ht="12.75" customHeight="1" x14ac:dyDescent="0.35">
      <c r="B298" s="41" t="s">
        <v>142</v>
      </c>
      <c r="C298" s="100" t="str">
        <f t="shared" ref="C298:H298" si="24">IF(AND(COUNTBLANK(C$67:C$81)&lt;13,C78=""),"No %age shown","done")</f>
        <v>done</v>
      </c>
      <c r="D298" s="100" t="str">
        <f t="shared" si="24"/>
        <v>done</v>
      </c>
      <c r="E298" s="100" t="str">
        <f t="shared" si="24"/>
        <v>done</v>
      </c>
      <c r="F298" s="100" t="str">
        <f t="shared" si="24"/>
        <v>done</v>
      </c>
      <c r="G298" s="100" t="str">
        <f t="shared" si="24"/>
        <v>done</v>
      </c>
      <c r="H298" s="100" t="str">
        <f t="shared" si="24"/>
        <v>done</v>
      </c>
      <c r="K298" s="56">
        <f t="shared" si="15"/>
        <v>0</v>
      </c>
      <c r="L298" s="56">
        <f t="shared" si="15"/>
        <v>0</v>
      </c>
      <c r="M298" s="56">
        <f t="shared" si="15"/>
        <v>0</v>
      </c>
      <c r="N298" s="56">
        <f t="shared" si="15"/>
        <v>0</v>
      </c>
      <c r="O298" s="56">
        <f t="shared" si="15"/>
        <v>0</v>
      </c>
      <c r="P298" s="56">
        <f t="shared" si="15"/>
        <v>0</v>
      </c>
    </row>
    <row r="299" spans="2:16" ht="12.75" customHeight="1" x14ac:dyDescent="0.35">
      <c r="B299" s="41" t="s">
        <v>143</v>
      </c>
      <c r="C299" s="100" t="str">
        <f t="shared" ref="C299:H299" si="25">IF(AND(COUNTBLANK(C$67:C$81)&lt;13,C78&gt;0,C79=""),"No DoB shown","done")</f>
        <v>done</v>
      </c>
      <c r="D299" s="100" t="str">
        <f t="shared" si="25"/>
        <v>done</v>
      </c>
      <c r="E299" s="100" t="str">
        <f t="shared" si="25"/>
        <v>done</v>
      </c>
      <c r="F299" s="100" t="str">
        <f t="shared" si="25"/>
        <v>done</v>
      </c>
      <c r="G299" s="100" t="str">
        <f t="shared" si="25"/>
        <v>done</v>
      </c>
      <c r="H299" s="100" t="str">
        <f t="shared" si="25"/>
        <v>done</v>
      </c>
      <c r="K299" s="56">
        <f t="shared" si="15"/>
        <v>0</v>
      </c>
      <c r="L299" s="56">
        <f t="shared" si="15"/>
        <v>0</v>
      </c>
      <c r="M299" s="56">
        <f t="shared" si="15"/>
        <v>0</v>
      </c>
      <c r="N299" s="56">
        <f t="shared" si="15"/>
        <v>0</v>
      </c>
      <c r="O299" s="56">
        <f t="shared" si="15"/>
        <v>0</v>
      </c>
      <c r="P299" s="56">
        <f t="shared" si="15"/>
        <v>0</v>
      </c>
    </row>
    <row r="300" spans="2:16" ht="12.75" customHeight="1" x14ac:dyDescent="0.35">
      <c r="B300" s="41" t="s">
        <v>144</v>
      </c>
      <c r="C300" s="100" t="str">
        <f t="shared" ref="C300:H300" si="26">IF(AND(COUNTBLANK(C$67:C$81)&lt;13,C78&gt;0,C80=""),"No Gender shown","done")</f>
        <v>done</v>
      </c>
      <c r="D300" s="100" t="str">
        <f t="shared" si="26"/>
        <v>done</v>
      </c>
      <c r="E300" s="100" t="str">
        <f t="shared" si="26"/>
        <v>done</v>
      </c>
      <c r="F300" s="100" t="str">
        <f t="shared" si="26"/>
        <v>done</v>
      </c>
      <c r="G300" s="100" t="str">
        <f t="shared" si="26"/>
        <v>done</v>
      </c>
      <c r="H300" s="100" t="str">
        <f t="shared" si="26"/>
        <v>done</v>
      </c>
      <c r="J300" s="218"/>
      <c r="K300" s="56">
        <f t="shared" si="15"/>
        <v>0</v>
      </c>
      <c r="L300" s="56">
        <f t="shared" si="15"/>
        <v>0</v>
      </c>
      <c r="M300" s="56">
        <f t="shared" si="15"/>
        <v>0</v>
      </c>
      <c r="N300" s="56">
        <f t="shared" si="15"/>
        <v>0</v>
      </c>
      <c r="O300" s="56">
        <f t="shared" si="15"/>
        <v>0</v>
      </c>
      <c r="P300" s="56">
        <f t="shared" si="15"/>
        <v>0</v>
      </c>
    </row>
    <row r="301" spans="2:16" ht="25.5" customHeight="1" x14ac:dyDescent="0.35">
      <c r="B301" s="41" t="s">
        <v>145</v>
      </c>
      <c r="C301" s="103" t="str">
        <f t="shared" ref="C301:H301" si="27">IF(AND(COUNTBLANK(C$67:C$81)&lt;13,C81&gt;0,RIGHT(C71,1)&lt;&gt;"n"),"RCV is not valid for this pension","done")</f>
        <v>done</v>
      </c>
      <c r="D301" s="103" t="str">
        <f t="shared" si="27"/>
        <v>done</v>
      </c>
      <c r="E301" s="103" t="str">
        <f t="shared" si="27"/>
        <v>done</v>
      </c>
      <c r="F301" s="103" t="str">
        <f t="shared" si="27"/>
        <v>done</v>
      </c>
      <c r="G301" s="103" t="str">
        <f t="shared" si="27"/>
        <v>done</v>
      </c>
      <c r="H301" s="103" t="str">
        <f t="shared" si="27"/>
        <v>done</v>
      </c>
      <c r="J301" s="218"/>
      <c r="K301" s="56">
        <f t="shared" si="15"/>
        <v>0</v>
      </c>
      <c r="L301" s="56">
        <f t="shared" si="15"/>
        <v>0</v>
      </c>
      <c r="M301" s="56">
        <f t="shared" si="15"/>
        <v>0</v>
      </c>
      <c r="N301" s="56">
        <f t="shared" si="15"/>
        <v>0</v>
      </c>
      <c r="O301" s="56">
        <f t="shared" si="15"/>
        <v>0</v>
      </c>
      <c r="P301" s="56">
        <f t="shared" si="15"/>
        <v>0</v>
      </c>
    </row>
    <row r="302" spans="2:16" ht="12.75" customHeight="1" x14ac:dyDescent="0.35">
      <c r="B302" s="41"/>
      <c r="C302" s="52"/>
      <c r="K302" s="56"/>
    </row>
    <row r="303" spans="2:16" ht="12.75" customHeight="1" x14ac:dyDescent="0.35">
      <c r="B303" s="40" t="s">
        <v>83</v>
      </c>
    </row>
    <row r="304" spans="2:16" ht="12.75" customHeight="1" x14ac:dyDescent="0.35">
      <c r="B304" s="41" t="s">
        <v>84</v>
      </c>
      <c r="C304" s="52" t="str">
        <f>IF(K101&lt;&gt;0,"Please check all details for Internal Transfer 1 - it appears something is not correct!","done")</f>
        <v>done</v>
      </c>
      <c r="K304" s="56">
        <f t="shared" ref="K304:K313" si="28">IF(C304="done",0,1)</f>
        <v>0</v>
      </c>
    </row>
    <row r="305" spans="2:11" ht="12.75" customHeight="1" x14ac:dyDescent="0.35">
      <c r="B305" s="41" t="s">
        <v>85</v>
      </c>
      <c r="C305" s="52" t="str">
        <f>IF(K102&lt;&gt;0,"Please check all details for Internal Transfer 2 - it appears something is not correct!","done")</f>
        <v>done</v>
      </c>
      <c r="K305" s="56">
        <f t="shared" si="28"/>
        <v>0</v>
      </c>
    </row>
    <row r="306" spans="2:11" ht="12.75" customHeight="1" x14ac:dyDescent="0.35">
      <c r="B306" s="41" t="s">
        <v>86</v>
      </c>
      <c r="C306" s="52" t="str">
        <f>IF(K103&lt;&gt;0,"Please check all details for Internal Transfer 3 - it appears something is not correct!","done")</f>
        <v>done</v>
      </c>
      <c r="K306" s="56">
        <f t="shared" si="28"/>
        <v>0</v>
      </c>
    </row>
    <row r="307" spans="2:11" ht="12.75" customHeight="1" x14ac:dyDescent="0.35">
      <c r="B307" s="41" t="s">
        <v>87</v>
      </c>
      <c r="C307" s="52" t="str">
        <f>IF(K104&lt;&gt;0,"Please check all details for Internal Transfer 4 - it appears something is not correct!","done")</f>
        <v>done</v>
      </c>
      <c r="K307" s="56">
        <f t="shared" si="28"/>
        <v>0</v>
      </c>
    </row>
    <row r="308" spans="2:11" ht="12.75" customHeight="1" x14ac:dyDescent="0.35">
      <c r="B308" s="41" t="s">
        <v>88</v>
      </c>
      <c r="C308" s="52" t="str">
        <f>IF(K105&lt;&gt;0,"Please check all details for Internal Transfer 5 - it appears something is not correct!","done")</f>
        <v>done</v>
      </c>
      <c r="K308" s="56">
        <f t="shared" si="28"/>
        <v>0</v>
      </c>
    </row>
    <row r="309" spans="2:11" ht="12.75" customHeight="1" x14ac:dyDescent="0.35">
      <c r="B309" s="41" t="s">
        <v>89</v>
      </c>
      <c r="C309" s="52" t="str">
        <f>IF(K106&lt;&gt;0,"Please check all details for Internal Transfer 6 - it appears something is not correct!","done")</f>
        <v>done</v>
      </c>
      <c r="K309" s="56">
        <f t="shared" si="28"/>
        <v>0</v>
      </c>
    </row>
    <row r="310" spans="2:11" ht="12.75" customHeight="1" x14ac:dyDescent="0.35">
      <c r="B310" s="41" t="s">
        <v>90</v>
      </c>
      <c r="C310" s="52" t="str">
        <f>IF(K107&lt;&gt;0,"Please check all details for Internal Transfer 7 - it appears something is not correct!","done")</f>
        <v>done</v>
      </c>
      <c r="K310" s="56">
        <f t="shared" si="28"/>
        <v>0</v>
      </c>
    </row>
    <row r="311" spans="2:11" ht="12.75" customHeight="1" x14ac:dyDescent="0.35">
      <c r="B311" s="41" t="s">
        <v>91</v>
      </c>
      <c r="C311" s="52" t="str">
        <f>IF(K108&lt;&gt;0,"Please check all details for Internal Transfer 8 - it appears something is not correct!","done")</f>
        <v>done</v>
      </c>
      <c r="K311" s="56">
        <f t="shared" si="28"/>
        <v>0</v>
      </c>
    </row>
    <row r="312" spans="2:11" ht="12.75" customHeight="1" x14ac:dyDescent="0.35">
      <c r="B312" s="41" t="s">
        <v>92</v>
      </c>
      <c r="C312" s="52" t="str">
        <f>IF(K109&lt;&gt;0,"Please check all details for Internal Transfer 9 - it appears something is not correct!","done")</f>
        <v>done</v>
      </c>
      <c r="K312" s="56">
        <f t="shared" si="28"/>
        <v>0</v>
      </c>
    </row>
    <row r="313" spans="2:11" ht="12.75" customHeight="1" x14ac:dyDescent="0.35">
      <c r="B313" s="41" t="s">
        <v>93</v>
      </c>
      <c r="C313" s="52" t="str">
        <f>IF(K110&lt;&gt;0,"Please check all details for Internal Transfer 10 - it appears something is not correct!","done")</f>
        <v>done</v>
      </c>
      <c r="K313" s="56">
        <f t="shared" si="28"/>
        <v>0</v>
      </c>
    </row>
    <row r="314" spans="2:11" ht="6" customHeight="1" x14ac:dyDescent="0.35"/>
    <row r="315" spans="2:11" ht="15" customHeight="1" x14ac:dyDescent="0.35">
      <c r="B315" s="41" t="s">
        <v>202</v>
      </c>
      <c r="C315" s="52" t="str">
        <f>IF(H117=0,"There is no Opening Balance shown for the Defined Benefit Pensions.","done")</f>
        <v>There is no Opening Balance shown for the Defined Benefit Pensions.</v>
      </c>
      <c r="K315" s="56">
        <f>IF(C315="done",0,1)</f>
        <v>1</v>
      </c>
    </row>
    <row r="316" spans="2:11" ht="15" customHeight="1" x14ac:dyDescent="0.35">
      <c r="B316" s="41" t="s">
        <v>203</v>
      </c>
      <c r="C316" s="52" t="str">
        <f>IF(AND(H116&gt;0,H128&gt;0,H123&lt;1),"No Account-Based Pension Benefits appear to have been paid","done")</f>
        <v>done</v>
      </c>
      <c r="K316" s="56">
        <f>IF(C316="done",0,1)</f>
        <v>0</v>
      </c>
    </row>
    <row r="317" spans="2:11" ht="15" customHeight="1" x14ac:dyDescent="0.35">
      <c r="B317" s="41" t="s">
        <v>204</v>
      </c>
      <c r="C317" s="52" t="str">
        <f>IF(AND(H117&gt;0,H129&gt;0,H124&lt;1),"No Defined Benefit Pension Payments appear to have been paid","done")</f>
        <v>done</v>
      </c>
      <c r="K317" s="56">
        <f>IF(C317="done",0,1)</f>
        <v>0</v>
      </c>
    </row>
    <row r="318" spans="2:11" ht="15" customHeight="1" x14ac:dyDescent="0.35">
      <c r="B318" s="41" t="s">
        <v>205</v>
      </c>
      <c r="C318" s="52" t="str">
        <f>IF(H125=0,"No Net Income appears to have been entered","done")</f>
        <v>No Net Income appears to have been entered</v>
      </c>
      <c r="K318" s="56">
        <f>IF(C318="done",0,1)</f>
        <v>1</v>
      </c>
    </row>
    <row r="319" spans="2:11" ht="15" customHeight="1" x14ac:dyDescent="0.35"/>
    <row r="320" spans="2:11" ht="12.75" customHeight="1" x14ac:dyDescent="0.35">
      <c r="B320" s="42" t="s">
        <v>94</v>
      </c>
      <c r="C320" s="52" t="str">
        <f>IF(H336&gt;1,"Please provide dates for Contributions.  If uniform throughout the year, show total with no date.",IF(I336&gt;1,"Please ensure Contributions are listed in the correct member column.","done"))</f>
        <v>done</v>
      </c>
      <c r="K320" s="56">
        <f>IF(C320="done",0,1)</f>
        <v>0</v>
      </c>
    </row>
    <row r="321" spans="2:11" ht="12.75" customHeight="1" x14ac:dyDescent="0.35">
      <c r="B321" s="42" t="s">
        <v>95</v>
      </c>
      <c r="C321" s="52" t="str">
        <f>IF(H339&gt;1,"Please provide dates for all Transfers In (roll-ins).",IF(I339&gt;1,"Please ensure Transfers In are listed in the correct member column.","done"))</f>
        <v>done</v>
      </c>
      <c r="K321" s="56">
        <f>IF(C321="done",0,1)</f>
        <v>0</v>
      </c>
    </row>
    <row r="322" spans="2:11" ht="12.75" customHeight="1" x14ac:dyDescent="0.35">
      <c r="B322" s="42" t="s">
        <v>123</v>
      </c>
      <c r="C322" s="52" t="str">
        <f>IF(H342&gt;1,"Please provide dates for ALL Benefit Payments.  If uniform throughout the year, show total with no date.",IF(I342&gt;1,"Please ensure benefit payments are listed in the correct member column.","done"))</f>
        <v>done</v>
      </c>
      <c r="K322" s="56">
        <f>IF(C322="done",0,1)</f>
        <v>0</v>
      </c>
    </row>
    <row r="323" spans="2:11" ht="12.75" customHeight="1" x14ac:dyDescent="0.35">
      <c r="B323" s="42" t="s">
        <v>183</v>
      </c>
      <c r="C323" s="52" t="str">
        <f>IF(H345&gt;1,"Please provide dates for ALL Benefit Payments.  If uniform throughout the year, show total with no date.",IF(I345&gt;1,"Please ensure benefit payments are listed in the correct member column.","done"))</f>
        <v>done</v>
      </c>
      <c r="K323" s="56">
        <f>IF(C323="done",0,1)</f>
        <v>0</v>
      </c>
    </row>
    <row r="324" spans="2:11" ht="12.75" customHeight="1" x14ac:dyDescent="0.35">
      <c r="B324" s="42" t="s">
        <v>184</v>
      </c>
      <c r="C324" s="52" t="str">
        <f>IF(H348&gt;1,"Please provide dates for ALL Benefit Payments.  If uniform throughout the year, show total with no date.",IF(I348&gt;1,"Please ensure benefit payments are listed in the correct member column.","done"))</f>
        <v>done</v>
      </c>
      <c r="K324" s="56">
        <f>IF(C324="done",0,1)</f>
        <v>0</v>
      </c>
    </row>
    <row r="325" spans="2:11" ht="12.75" customHeight="1" x14ac:dyDescent="0.35">
      <c r="B325" s="42" t="s">
        <v>206</v>
      </c>
      <c r="C325" s="52" t="str">
        <f ca="1">IF(I132&gt;0,"There may be some issues with the Transaction Table - please check these before sending application in.","done")</f>
        <v>done</v>
      </c>
      <c r="K325" s="56"/>
    </row>
    <row r="326" spans="2:11" ht="6" customHeight="1" x14ac:dyDescent="0.35"/>
    <row r="327" spans="2:11" ht="12.75" customHeight="1" x14ac:dyDescent="0.35">
      <c r="B327" s="107" t="s">
        <v>209</v>
      </c>
    </row>
    <row r="328" spans="2:11" ht="12.75" customHeight="1" x14ac:dyDescent="0.35">
      <c r="B328" s="42" t="s">
        <v>210</v>
      </c>
      <c r="C328" s="52" t="str">
        <f>IF(SUM(A122:A124)&gt;0,"It appears that some payments have been listed against the wrong account types (or payments missing) - please check","done")</f>
        <v>done</v>
      </c>
      <c r="K328" s="56">
        <f>IF(C328="done",0,1)</f>
        <v>0</v>
      </c>
    </row>
    <row r="329" spans="2:11" ht="12.75" customHeight="1" x14ac:dyDescent="0.35">
      <c r="B329" s="42" t="s">
        <v>211</v>
      </c>
      <c r="C329" s="52" t="str">
        <f ca="1">IF(SUM(A127:A129)&gt;0,"It appears either accounts have been closed or new ones opened - please check closing balances are in the correct rows","done")</f>
        <v>done</v>
      </c>
      <c r="K329" s="56">
        <f ca="1">IF(C329="done",0,1)</f>
        <v>0</v>
      </c>
    </row>
    <row r="330" spans="2:11" ht="12.75" customHeight="1" x14ac:dyDescent="0.35">
      <c r="B330" s="42" t="s">
        <v>212</v>
      </c>
      <c r="C330" s="52" t="str">
        <f>IF(SUM(A130:A131)&gt;0,"The Closing Balance figures don't reconcile - please enter closing balances for each member account","done")</f>
        <v>done</v>
      </c>
      <c r="K330" s="56">
        <f>IF(C330="done",0,1)</f>
        <v>0</v>
      </c>
    </row>
    <row r="331" spans="2:11" ht="6" customHeight="1" x14ac:dyDescent="0.35"/>
    <row r="332" spans="2:11" ht="12.75" customHeight="1" x14ac:dyDescent="0.35">
      <c r="B332" s="44" t="s">
        <v>96</v>
      </c>
      <c r="C332" s="43"/>
    </row>
    <row r="333" spans="2:11" ht="12.75" customHeight="1" x14ac:dyDescent="0.35">
      <c r="B333" s="43"/>
      <c r="C333" s="43"/>
      <c r="D333" s="51" t="str">
        <f>IF(D$35&lt;&gt;"",D$35,D$34)</f>
        <v>Member 1</v>
      </c>
      <c r="E333" s="51" t="str">
        <f>IF(E$35&lt;&gt;"",E$35,E$34)</f>
        <v>Member 2</v>
      </c>
      <c r="F333" s="51" t="str">
        <f>IF(F$35&lt;&gt;"",F$35,F$34)</f>
        <v>Member 3</v>
      </c>
      <c r="G333" s="51" t="str">
        <f>IF(G$35&lt;&gt;"",G$35,G$34)</f>
        <v>Member 4</v>
      </c>
      <c r="H333" t="s">
        <v>105</v>
      </c>
    </row>
    <row r="334" spans="2:11" ht="12.75" customHeight="1" x14ac:dyDescent="0.35">
      <c r="B334" s="43" t="s">
        <v>97</v>
      </c>
      <c r="C334" s="43"/>
      <c r="D334" s="46">
        <f>D120</f>
        <v>0</v>
      </c>
      <c r="E334" s="46">
        <f>E120</f>
        <v>0</v>
      </c>
      <c r="F334" s="46">
        <f>F120</f>
        <v>0</v>
      </c>
      <c r="G334" s="46">
        <f>G120</f>
        <v>0</v>
      </c>
      <c r="H334" s="48">
        <f>SUM(D334:G334)</f>
        <v>0</v>
      </c>
    </row>
    <row r="335" spans="2:11" ht="12.75" customHeight="1" x14ac:dyDescent="0.35">
      <c r="B335" s="43" t="s">
        <v>98</v>
      </c>
      <c r="C335" s="43"/>
      <c r="D335" s="47">
        <f>SUMIF($B$167:$B$216,"CONTRIBUTION",D$167:D$216)</f>
        <v>0</v>
      </c>
      <c r="E335" s="47">
        <f>SUMIF($B$167:$B$216,"CONTRIBUTION",E$167:E$216)</f>
        <v>0</v>
      </c>
      <c r="F335" s="47">
        <f>SUMIF($B$167:$B$216,"CONTRIBUTION",F$167:F$216)</f>
        <v>0</v>
      </c>
      <c r="G335" s="47">
        <f>SUMIF($B$167:$B$216,"CONTRIBUTION",G$167:G$216)</f>
        <v>0</v>
      </c>
      <c r="H335" s="48">
        <f t="shared" ref="H335:H347" si="29">SUM(D335:G335)</f>
        <v>0</v>
      </c>
    </row>
    <row r="336" spans="2:11" ht="12.75" customHeight="1" x14ac:dyDescent="0.35">
      <c r="B336" s="43"/>
      <c r="C336" s="43" t="s">
        <v>99</v>
      </c>
      <c r="D336" s="49">
        <f>D334-D335</f>
        <v>0</v>
      </c>
      <c r="E336" s="49">
        <f>E334-E335</f>
        <v>0</v>
      </c>
      <c r="F336" s="49">
        <f>F334-F335</f>
        <v>0</v>
      </c>
      <c r="G336" s="49">
        <f>G334-G335</f>
        <v>0</v>
      </c>
      <c r="H336" s="50">
        <f t="shared" si="29"/>
        <v>0</v>
      </c>
      <c r="I336" s="50">
        <f>ABS(D336)+ABS(E336)+ABS(F336)+ABS(G336)</f>
        <v>0</v>
      </c>
      <c r="K336" s="56">
        <f>IF(AND(ABS(H336)&lt;1,ABS(I336)&lt;1),0,1)</f>
        <v>0</v>
      </c>
    </row>
    <row r="337" spans="2:11" ht="12.75" customHeight="1" x14ac:dyDescent="0.35">
      <c r="B337" s="43" t="s">
        <v>100</v>
      </c>
      <c r="C337" s="43"/>
      <c r="D337" s="46">
        <f>D121</f>
        <v>0</v>
      </c>
      <c r="E337" s="46">
        <f>E121</f>
        <v>0</v>
      </c>
      <c r="F337" s="46">
        <f>F121</f>
        <v>0</v>
      </c>
      <c r="G337" s="46">
        <f>G121</f>
        <v>0</v>
      </c>
      <c r="H337" s="48">
        <f t="shared" si="29"/>
        <v>0</v>
      </c>
      <c r="K337" s="56"/>
    </row>
    <row r="338" spans="2:11" ht="12.75" customHeight="1" x14ac:dyDescent="0.35">
      <c r="B338" s="43" t="s">
        <v>101</v>
      </c>
      <c r="C338" s="43"/>
      <c r="D338" s="47">
        <f>SUMIF($B$167:$B$216,"TRANSFER IN",D$167:D$216)</f>
        <v>0</v>
      </c>
      <c r="E338" s="47">
        <f>SUMIF($B$167:$B$216,"TRANSFER IN",E$167:E$216)</f>
        <v>0</v>
      </c>
      <c r="F338" s="47">
        <f>SUMIF($B$167:$B$216,"TRANSFER IN",F$167:F$216)</f>
        <v>0</v>
      </c>
      <c r="G338" s="47">
        <f>SUMIF($B$167:$B$216,"TRANSFER IN",G$167:G$216)</f>
        <v>0</v>
      </c>
      <c r="H338" s="48">
        <f t="shared" si="29"/>
        <v>0</v>
      </c>
      <c r="K338" s="56"/>
    </row>
    <row r="339" spans="2:11" ht="12.75" customHeight="1" x14ac:dyDescent="0.35">
      <c r="B339" s="43"/>
      <c r="C339" s="43" t="s">
        <v>99</v>
      </c>
      <c r="D339" s="49">
        <f>D337-D338</f>
        <v>0</v>
      </c>
      <c r="E339" s="49">
        <f>E337-E338</f>
        <v>0</v>
      </c>
      <c r="F339" s="49">
        <f>F337-F338</f>
        <v>0</v>
      </c>
      <c r="G339" s="49">
        <f>G337-G338</f>
        <v>0</v>
      </c>
      <c r="H339" s="50">
        <f t="shared" si="29"/>
        <v>0</v>
      </c>
      <c r="I339" s="50">
        <f>ABS(D339)+ABS(E339)+ABS(F339)+ABS(G339)</f>
        <v>0</v>
      </c>
      <c r="K339" s="56">
        <f>IF(AND(ABS(H339)&lt;1,ABS(I339)&lt;1),0,1)</f>
        <v>0</v>
      </c>
    </row>
    <row r="340" spans="2:11" ht="12.75" customHeight="1" x14ac:dyDescent="0.35">
      <c r="B340" s="43" t="s">
        <v>174</v>
      </c>
      <c r="C340" s="43"/>
      <c r="D340" s="46">
        <f>D122</f>
        <v>0</v>
      </c>
      <c r="E340" s="46">
        <f>E122</f>
        <v>0</v>
      </c>
      <c r="F340" s="46">
        <f>F122</f>
        <v>0</v>
      </c>
      <c r="G340" s="46">
        <f>G122</f>
        <v>0</v>
      </c>
      <c r="H340" s="48">
        <f t="shared" si="29"/>
        <v>0</v>
      </c>
      <c r="K340" s="56"/>
    </row>
    <row r="341" spans="2:11" ht="12.75" customHeight="1" x14ac:dyDescent="0.35">
      <c r="B341" s="43" t="s">
        <v>175</v>
      </c>
      <c r="C341" s="43"/>
      <c r="D341" s="47">
        <f>SUMIF($B$167:$B$216,"ACCUMULATION BENEFIT",D$167:D$216)</f>
        <v>0</v>
      </c>
      <c r="E341" s="47">
        <f>SUMIF($B$167:$B$216,"ACCUMULATION BENEFIT",E$167:E$216)</f>
        <v>0</v>
      </c>
      <c r="F341" s="47">
        <f>SUMIF($B$167:$B$216,"ACCUMULATION BENEFIT",F$167:F$216)</f>
        <v>0</v>
      </c>
      <c r="G341" s="47">
        <f>SUMIF($B$167:$B$216,"ACCUMULATION BENEFIT",G$167:G$216)</f>
        <v>0</v>
      </c>
      <c r="H341" s="48">
        <f t="shared" si="29"/>
        <v>0</v>
      </c>
      <c r="K341" s="56"/>
    </row>
    <row r="342" spans="2:11" ht="12.75" customHeight="1" x14ac:dyDescent="0.35">
      <c r="B342" s="43"/>
      <c r="C342" s="43" t="s">
        <v>99</v>
      </c>
      <c r="D342" s="49">
        <f>D340-D341</f>
        <v>0</v>
      </c>
      <c r="E342" s="49">
        <f>E340-E341</f>
        <v>0</v>
      </c>
      <c r="F342" s="49">
        <f>F340-F341</f>
        <v>0</v>
      </c>
      <c r="G342" s="49">
        <f>G340-G341</f>
        <v>0</v>
      </c>
      <c r="H342" s="50">
        <f t="shared" si="29"/>
        <v>0</v>
      </c>
      <c r="I342" s="50">
        <f>ABS(D342)+ABS(E342)+ABS(F342)+ABS(G342)</f>
        <v>0</v>
      </c>
      <c r="K342" s="56">
        <f>IF(AND(ABS(H342)&lt;1,ABS(I342)&lt;1),0,1)</f>
        <v>0</v>
      </c>
    </row>
    <row r="343" spans="2:11" ht="12.75" customHeight="1" x14ac:dyDescent="0.35">
      <c r="B343" s="43" t="s">
        <v>176</v>
      </c>
      <c r="C343" s="43"/>
      <c r="D343" s="46">
        <f>D123</f>
        <v>0</v>
      </c>
      <c r="E343" s="46">
        <f>E123</f>
        <v>0</v>
      </c>
      <c r="F343" s="46">
        <f>F123</f>
        <v>0</v>
      </c>
      <c r="G343" s="46">
        <f>G123</f>
        <v>0</v>
      </c>
      <c r="H343" s="48">
        <f t="shared" si="29"/>
        <v>0</v>
      </c>
      <c r="I343" s="50"/>
      <c r="K343" s="56"/>
    </row>
    <row r="344" spans="2:11" ht="12.75" customHeight="1" x14ac:dyDescent="0.35">
      <c r="B344" s="43" t="s">
        <v>177</v>
      </c>
      <c r="C344" s="43"/>
      <c r="D344" s="47">
        <f>SUMIF($B$167:$B$216,"ACCOUNT-BASED PMNT",D$167:D$216)</f>
        <v>0</v>
      </c>
      <c r="E344" s="47">
        <f>SUMIF($B$167:$B$216,"ACCOUNT-BASED PMNT",E$167:E$216)</f>
        <v>0</v>
      </c>
      <c r="F344" s="47">
        <f>SUMIF($B$167:$B$216,"ACCOUNT-BASED PMNT",F$167:F$216)</f>
        <v>0</v>
      </c>
      <c r="G344" s="47">
        <f>SUMIF($B$167:$B$216,"ACCOUNT-BASED PMNT",G$167:G$216)</f>
        <v>0</v>
      </c>
      <c r="H344" s="48">
        <f t="shared" si="29"/>
        <v>0</v>
      </c>
      <c r="I344" s="50"/>
      <c r="K344" s="56"/>
    </row>
    <row r="345" spans="2:11" ht="12.75" customHeight="1" x14ac:dyDescent="0.35">
      <c r="B345" s="43"/>
      <c r="C345" s="43" t="s">
        <v>99</v>
      </c>
      <c r="D345" s="49">
        <f>D343-D344</f>
        <v>0</v>
      </c>
      <c r="E345" s="49">
        <f>E343-E344</f>
        <v>0</v>
      </c>
      <c r="F345" s="49">
        <f>F343-F344</f>
        <v>0</v>
      </c>
      <c r="G345" s="49">
        <f>G343-G344</f>
        <v>0</v>
      </c>
      <c r="H345" s="50">
        <f>SUM(D345:G345)</f>
        <v>0</v>
      </c>
      <c r="I345" s="50">
        <f>ABS(D345)+ABS(E345)+ABS(F345)+ABS(G345)</f>
        <v>0</v>
      </c>
      <c r="K345" s="56">
        <f>IF(AND(ABS(H345)&lt;1,ABS(I345)&lt;1),0,1)</f>
        <v>0</v>
      </c>
    </row>
    <row r="346" spans="2:11" ht="12.75" customHeight="1" x14ac:dyDescent="0.35">
      <c r="B346" s="43" t="s">
        <v>178</v>
      </c>
      <c r="C346" s="43"/>
      <c r="D346" s="46">
        <f>D124</f>
        <v>0</v>
      </c>
      <c r="E346" s="46">
        <f>E124</f>
        <v>0</v>
      </c>
      <c r="F346" s="46">
        <f>F124</f>
        <v>0</v>
      </c>
      <c r="G346" s="46">
        <f>G124</f>
        <v>0</v>
      </c>
      <c r="H346" s="48">
        <f t="shared" si="29"/>
        <v>0</v>
      </c>
      <c r="I346" s="50"/>
      <c r="K346" s="56"/>
    </row>
    <row r="347" spans="2:11" ht="12.75" customHeight="1" x14ac:dyDescent="0.35">
      <c r="B347" s="43" t="s">
        <v>179</v>
      </c>
      <c r="C347" s="43"/>
      <c r="D347" s="47">
        <f>SUMIF($B$167:$B$216,"DEFINED-BENEFIT PMNT",D$167:D$216)</f>
        <v>0</v>
      </c>
      <c r="E347" s="47">
        <f>SUMIF($B$167:$B$216,"DEFINED-BENEFIT PMNT",E$167:E$216)</f>
        <v>0</v>
      </c>
      <c r="F347" s="47">
        <f>SUMIF($B$167:$B$216,"DEFINED-BENEFIT PMNT",F$167:F$216)</f>
        <v>0</v>
      </c>
      <c r="G347" s="47">
        <f>SUMIF($B$167:$B$216,"DEFINED-BENEFIT PMNT",G$167:G$216)</f>
        <v>0</v>
      </c>
      <c r="H347" s="48">
        <f t="shared" si="29"/>
        <v>0</v>
      </c>
      <c r="I347" s="50"/>
      <c r="K347" s="56"/>
    </row>
    <row r="348" spans="2:11" ht="12.75" customHeight="1" x14ac:dyDescent="0.35">
      <c r="B348" s="43"/>
      <c r="C348" s="43" t="s">
        <v>99</v>
      </c>
      <c r="D348" s="49">
        <f>D346-D347</f>
        <v>0</v>
      </c>
      <c r="E348" s="49">
        <f>E346-E347</f>
        <v>0</v>
      </c>
      <c r="F348" s="49">
        <f>F346-F347</f>
        <v>0</v>
      </c>
      <c r="G348" s="49">
        <f>G346-G347</f>
        <v>0</v>
      </c>
      <c r="H348" s="50">
        <f>SUM(D348:G348)</f>
        <v>0</v>
      </c>
      <c r="I348" s="50">
        <f>ABS(D348)+ABS(E348)+ABS(F348)+ABS(G348)</f>
        <v>0</v>
      </c>
      <c r="K348" s="56">
        <f>IF(AND(ABS(H348)&lt;1,ABS(I348)&lt;1),0,1)</f>
        <v>0</v>
      </c>
    </row>
    <row r="349" spans="2:11" ht="5.25" customHeight="1" thickBot="1" x14ac:dyDescent="0.4"/>
    <row r="350" spans="2:11" ht="19.5" customHeight="1" thickBot="1" x14ac:dyDescent="0.4">
      <c r="B350" s="233" t="s">
        <v>113</v>
      </c>
      <c r="C350" s="234"/>
      <c r="D350" s="234"/>
      <c r="E350" s="234"/>
      <c r="F350" s="234"/>
      <c r="G350" s="234"/>
      <c r="H350" s="234"/>
      <c r="I350" s="234"/>
      <c r="J350" s="235"/>
    </row>
  </sheetData>
  <sheetProtection algorithmName="SHA-512" hashValue="ON4ZMgX+GAV6WKqR4/LfdDWE5lkgHXhR0zc2/L3FDZ0yrR+LpZjJ23pWBb83LhdBeYXYqBzea7VtfDRwWgcTxQ==" saltValue="iuasRBfVaZ5KzRKpPu18xg==" spinCount="100000" sheet="1"/>
  <mergeCells count="143">
    <mergeCell ref="C1:J1"/>
    <mergeCell ref="C2:J2"/>
    <mergeCell ref="B245:C245"/>
    <mergeCell ref="H245:J247"/>
    <mergeCell ref="B246:C246"/>
    <mergeCell ref="D246:G246"/>
    <mergeCell ref="B228:J228"/>
    <mergeCell ref="B230:C230"/>
    <mergeCell ref="D230:G230"/>
    <mergeCell ref="H230:J231"/>
    <mergeCell ref="H36:J38"/>
    <mergeCell ref="H33:J34"/>
    <mergeCell ref="B6:J6"/>
    <mergeCell ref="B9:C9"/>
    <mergeCell ref="D9:G9"/>
    <mergeCell ref="D10:F10"/>
    <mergeCell ref="B10:C10"/>
    <mergeCell ref="D8:G8"/>
    <mergeCell ref="B8:C8"/>
    <mergeCell ref="H20:J20"/>
    <mergeCell ref="D19:E19"/>
    <mergeCell ref="D20:E20"/>
    <mergeCell ref="B19:C19"/>
    <mergeCell ref="B20:C20"/>
    <mergeCell ref="B249:J249"/>
    <mergeCell ref="B250:J250"/>
    <mergeCell ref="B232:C232"/>
    <mergeCell ref="D232:F232"/>
    <mergeCell ref="B241:C241"/>
    <mergeCell ref="D241:E241"/>
    <mergeCell ref="H241:J241"/>
    <mergeCell ref="B243:J243"/>
    <mergeCell ref="B231:C231"/>
    <mergeCell ref="D231:G231"/>
    <mergeCell ref="J300:J301"/>
    <mergeCell ref="I61:J61"/>
    <mergeCell ref="B55:J55"/>
    <mergeCell ref="B48:J48"/>
    <mergeCell ref="I57:J57"/>
    <mergeCell ref="I58:J58"/>
    <mergeCell ref="I59:J59"/>
    <mergeCell ref="I60:J60"/>
    <mergeCell ref="H56:J56"/>
    <mergeCell ref="C60:C61"/>
    <mergeCell ref="D60:D61"/>
    <mergeCell ref="H101:I101"/>
    <mergeCell ref="H106:I106"/>
    <mergeCell ref="H104:I104"/>
    <mergeCell ref="B101:C101"/>
    <mergeCell ref="B105:C105"/>
    <mergeCell ref="H103:I103"/>
    <mergeCell ref="H102:I102"/>
    <mergeCell ref="B102:C102"/>
    <mergeCell ref="H105:I105"/>
    <mergeCell ref="B103:C103"/>
    <mergeCell ref="B104:C104"/>
    <mergeCell ref="B156:H156"/>
    <mergeCell ref="B155:G155"/>
    <mergeCell ref="H19:J19"/>
    <mergeCell ref="B22:J22"/>
    <mergeCell ref="D26:G26"/>
    <mergeCell ref="D27:G27"/>
    <mergeCell ref="D28:G28"/>
    <mergeCell ref="D24:J24"/>
    <mergeCell ref="D25:G25"/>
    <mergeCell ref="B24:C24"/>
    <mergeCell ref="B100:C100"/>
    <mergeCell ref="D29:G29"/>
    <mergeCell ref="I94:J95"/>
    <mergeCell ref="B37:C37"/>
    <mergeCell ref="B35:C35"/>
    <mergeCell ref="B42:J42"/>
    <mergeCell ref="B31:J31"/>
    <mergeCell ref="D33:G33"/>
    <mergeCell ref="B83:J83"/>
    <mergeCell ref="B87:C87"/>
    <mergeCell ref="B95:C95"/>
    <mergeCell ref="B98:J98"/>
    <mergeCell ref="J99:J100"/>
    <mergeCell ref="H99:I100"/>
    <mergeCell ref="I89:J91"/>
    <mergeCell ref="B71:B72"/>
    <mergeCell ref="B350:J350"/>
    <mergeCell ref="H108:I108"/>
    <mergeCell ref="B121:C121"/>
    <mergeCell ref="B122:C122"/>
    <mergeCell ref="B114:C114"/>
    <mergeCell ref="B94:C94"/>
    <mergeCell ref="B96:C96"/>
    <mergeCell ref="B108:C108"/>
    <mergeCell ref="B256:I256"/>
    <mergeCell ref="B110:C110"/>
    <mergeCell ref="B158:J158"/>
    <mergeCell ref="B124:C124"/>
    <mergeCell ref="B123:C123"/>
    <mergeCell ref="B254:J255"/>
    <mergeCell ref="B133:H133"/>
    <mergeCell ref="H110:I110"/>
    <mergeCell ref="B120:C120"/>
    <mergeCell ref="B112:J112"/>
    <mergeCell ref="H107:I107"/>
    <mergeCell ref="B107:C107"/>
    <mergeCell ref="B106:C106"/>
    <mergeCell ref="B109:C109"/>
    <mergeCell ref="H109:I109"/>
    <mergeCell ref="B118:G118"/>
    <mergeCell ref="J71:J72"/>
    <mergeCell ref="H71:H72"/>
    <mergeCell ref="B76:B77"/>
    <mergeCell ref="B218:J218"/>
    <mergeCell ref="B131:C131"/>
    <mergeCell ref="B220:G226"/>
    <mergeCell ref="H220:I226"/>
    <mergeCell ref="B137:J137"/>
    <mergeCell ref="B138:G138"/>
    <mergeCell ref="I160:J168"/>
    <mergeCell ref="I203:J206"/>
    <mergeCell ref="H76:H77"/>
    <mergeCell ref="J76:J77"/>
    <mergeCell ref="C278:J279"/>
    <mergeCell ref="B252:J252"/>
    <mergeCell ref="E60:E61"/>
    <mergeCell ref="F60:F61"/>
    <mergeCell ref="C71:C72"/>
    <mergeCell ref="B130:C130"/>
    <mergeCell ref="F71:F72"/>
    <mergeCell ref="H27:J27"/>
    <mergeCell ref="B38:C38"/>
    <mergeCell ref="C93:H93"/>
    <mergeCell ref="C85:H85"/>
    <mergeCell ref="C89:H89"/>
    <mergeCell ref="B90:C90"/>
    <mergeCell ref="B91:C91"/>
    <mergeCell ref="G47:J47"/>
    <mergeCell ref="C76:C77"/>
    <mergeCell ref="D76:D77"/>
    <mergeCell ref="E76:E77"/>
    <mergeCell ref="F76:F77"/>
    <mergeCell ref="G76:G77"/>
    <mergeCell ref="D71:D72"/>
    <mergeCell ref="E71:E72"/>
    <mergeCell ref="G71:G72"/>
    <mergeCell ref="B65:J65"/>
  </mergeCells>
  <phoneticPr fontId="0" type="noConversion"/>
  <conditionalFormatting sqref="B254:J255">
    <cfRule type="cellIs" dxfId="9" priority="10" operator="notEqual">
      <formula>"Everything appears to be in order with this application."</formula>
    </cfRule>
  </conditionalFormatting>
  <conditionalFormatting sqref="C258:C266 C268:C270 C273:F275 C277:C278 C280:C302 D284:F284 D287:H291 I292 C292:H301 C304:C313 C315:C318 C320:C325">
    <cfRule type="cellIs" dxfId="8" priority="12" operator="equal">
      <formula>"done"</formula>
    </cfRule>
  </conditionalFormatting>
  <conditionalFormatting sqref="C328:C330">
    <cfRule type="cellIs" dxfId="7" priority="3" operator="equal">
      <formula>"done"</formula>
    </cfRule>
  </conditionalFormatting>
  <conditionalFormatting sqref="D130">
    <cfRule type="cellIs" dxfId="6" priority="7" stopIfTrue="1" operator="notEqual">
      <formula>$D$131</formula>
    </cfRule>
  </conditionalFormatting>
  <conditionalFormatting sqref="D336:I336 D339:I339 D342:H342 I342:I348 D345:I345 D348:I348">
    <cfRule type="cellIs" dxfId="5" priority="11" operator="notEqual">
      <formula>0</formula>
    </cfRule>
  </conditionalFormatting>
  <conditionalFormatting sqref="E130">
    <cfRule type="cellIs" dxfId="4" priority="6" stopIfTrue="1" operator="notEqual">
      <formula>$E$131</formula>
    </cfRule>
  </conditionalFormatting>
  <conditionalFormatting sqref="F130">
    <cfRule type="cellIs" dxfId="3" priority="5" stopIfTrue="1" operator="notEqual">
      <formula>$F$131</formula>
    </cfRule>
  </conditionalFormatting>
  <conditionalFormatting sqref="G130">
    <cfRule type="cellIs" dxfId="2" priority="4" stopIfTrue="1" operator="notEqual">
      <formula>$G$131</formula>
    </cfRule>
  </conditionalFormatting>
  <conditionalFormatting sqref="I160:J168">
    <cfRule type="cellIs" dxfId="1" priority="2" stopIfTrue="1" operator="equal">
      <formula>"The application appears ready to be sent!"</formula>
    </cfRule>
  </conditionalFormatting>
  <conditionalFormatting sqref="I203:J206">
    <cfRule type="cellIs" dxfId="0" priority="1" stopIfTrue="1" operator="equal">
      <formula>"The application appears ready to be sent!"</formula>
    </cfRule>
  </conditionalFormatting>
  <dataValidations count="90">
    <dataValidation type="whole" operator="greaterThanOrEqual" allowBlank="1" showInputMessage="1" showErrorMessage="1" errorTitle="Total Closing Bal Error" error="Whole Dollar amounts only.  This amount should be at least the value of the closing balance after Net Income." promptTitle="Closing Balance (inc Segregated)" prompt="This should include the value of any segregated assets that weren't included in the form for processing purposes._x000a__x000a_It is a regulatory requirement that this figure appears on the certificate." sqref="H155" xr:uid="{00000000-0002-0000-0000-000000000000}">
      <formula1>J130</formula1>
    </dataValidation>
    <dataValidation type="list" allowBlank="1" showInputMessage="1" showErrorMessage="1" errorTitle="Sufficient Liquid Assets Error" error="Please choose Yes or No from the drop-down menu." promptTitle="Sufficient Liquid Assets" prompt="Is there enough cash within the Fund to pay the pension/s for the next two years?_x000a__x000a_If not, are there sufficient liquid assets (easily converted to cash) that can quickly be liquidated to meet these requirements?" sqref="G63" xr:uid="{00000000-0002-0000-0000-000001000000}">
      <formula1>"Yes, No"</formula1>
    </dataValidation>
    <dataValidation type="list" allowBlank="1" showInputMessage="1" showErrorMessage="1" errorTitle="Reserve Account Error" error="Please choose Yes or No from the Drop Down menu." promptTitle="Reserve Account" prompt="Most funds don't have a reserve, however for those that do it helps to indicate this separately._x000a__x000a_This is NOT the Defined Benefit Pension Reserve!" sqref="I35" xr:uid="{00000000-0002-0000-0000-000002000000}">
      <formula1>"Yes, No"</formula1>
    </dataValidation>
    <dataValidation type="whole" operator="greaterThan" allowBlank="1" showInputMessage="1" showErrorMessage="1" errorTitle="Transaction Amount Error" error="Use WHOLE DOLLAR amounts only." promptTitle="Transaction Amount" prompt="Please use WHOLE DOLLAR amounts only._x000a__x000a_For regular and even transactions throughout the year (uniform) list the TOTAL here and don't put a date in the Transaction Date field._x000a__x000a_i.e. $1000 per month show as $12,000 with no date." sqref="D167:G216" xr:uid="{00000000-0002-0000-0000-000003000000}">
      <formula1>-99999999999</formula1>
    </dataValidation>
    <dataValidation type="list" allowBlank="1" showInputMessage="1" showErrorMessage="1" errorTitle="Transaction Type Error" error="Please choose from Drop Down Menu_x000a__x000a_CONTRIBUTION,_x000a_TRANSFER IN,_x000a_ACCUMULATION BENEFIT,_x000a_ACCOUNT-BASED PMNT or_x000a_DEFINED-BENEFIT PMNT" promptTitle="Transaction Type" prompt="We need to know what transactions occurred throughout the year to accurately determine the tax exempt percentage._x000a__x000a_Please provide information relating to the timing and amounts of the transactions:_x000a__x000a_Contributions, Transfers In and Pension Payments." sqref="B167:B216" xr:uid="{00000000-0002-0000-0000-000004000000}">
      <formula1>transtypes</formula1>
    </dataValidation>
    <dataValidation type="date" allowBlank="1" showInputMessage="1" showErrorMessage="1" errorTitle="Transaction Date Error" error="Date of Transaction must be within the income year in question.  Format DD/MM/YYYY_x000a__x000a_If having trouble, check earlier in the form to see which income year this form is relating to." promptTitle="Transaction Dates" prompt="Please indicate the date of the member transactions (Contributions, Transfers In and Benefit Payments).  _x000a__x000a_Use Date Format DD/MM/YYYY_x000a__x000a_If transactions were uniform (same amount each month) show the TOTAL to the right but leave this date field blank." sqref="C167:C216" xr:uid="{00000000-0002-0000-0000-000005000000}">
      <formula1>yrstart</formula1>
      <formula2>yrend</formula2>
    </dataValidation>
    <dataValidation allowBlank="1" showInputMessage="1" showErrorMessage="1" promptTitle="Comments Section" prompt="This should only need to be used if the circumstances of the Fund are somewhat non-standard or if other sections of the form have indicated the need to provide extra information in the comments section._x000a__x000a_Better to put info here rather than in the email." sqref="B220:G226" xr:uid="{00000000-0002-0000-0000-000006000000}"/>
    <dataValidation type="date" allowBlank="1" showInputMessage="1" showErrorMessage="1" sqref="J69 F45" xr:uid="{00000000-0002-0000-0000-000007000000}">
      <formula1>yrstart</formula1>
      <formula2>yrend</formula2>
    </dataValidation>
    <dataValidation type="list" allowBlank="1" showInputMessage="1" showErrorMessage="1" sqref="J75" xr:uid="{00000000-0002-0000-0000-000008000000}">
      <formula1>"Yes, No"</formula1>
    </dataValidation>
    <dataValidation type="whole" allowBlank="1" showInputMessage="1" showErrorMessage="1" sqref="D126:G126" xr:uid="{00000000-0002-0000-0000-000009000000}">
      <formula1>-99999999</formula1>
      <formula2>99999999</formula2>
    </dataValidation>
    <dataValidation type="whole" operator="greaterThanOrEqual" allowBlank="1" showInputMessage="1" showErrorMessage="1" sqref="D95:G95 D87:H87 J81" xr:uid="{00000000-0002-0000-0000-00000A000000}">
      <formula1>0</formula1>
    </dataValidation>
    <dataValidation type="list" allowBlank="1" showInputMessage="1" showErrorMessage="1" errorTitle="IT Description Error" error="Please choose from the Drop Down Menu." promptTitle="Description of Internal Transfer" prompt="This area should be used for Transfers between accounts within the Fund._x000a__x000a_If an appropriate description cannot be found in the drop-down list, please choose 'Other' and use the Comments section near the bottom of the form to provide more information." sqref="B101:C110" xr:uid="{00000000-0002-0000-0000-00000B000000}">
      <formula1>$B$140:$B$145</formula1>
    </dataValidation>
    <dataValidation type="date" allowBlank="1" showInputMessage="1" showErrorMessage="1" sqref="J68" xr:uid="{00000000-0002-0000-0000-00000C000000}">
      <formula1>33055</formula1>
      <formula2>38717</formula2>
    </dataValidation>
    <dataValidation type="list" allowBlank="1" showInputMessage="1" showErrorMessage="1" sqref="J70" xr:uid="{00000000-0002-0000-0000-00000D000000}">
      <formula1>"Term, Single Life, Reversionary"</formula1>
    </dataValidation>
    <dataValidation type="list" allowBlank="1" showInputMessage="1" showErrorMessage="1" sqref="J71:J72" xr:uid="{00000000-0002-0000-0000-00000E000000}">
      <formula1>"1.06(2) Lifetime, 1.06(7) Life Expectancy, 1.06(6) Flexi Pension"</formula1>
    </dataValidation>
    <dataValidation type="list" allowBlank="1" showInputMessage="1" showErrorMessage="1" sqref="J80" xr:uid="{00000000-0002-0000-0000-00000F000000}">
      <formula1>"Male, Female"</formula1>
    </dataValidation>
    <dataValidation type="list" allowBlank="1" showInputMessage="1" showErrorMessage="1" sqref="J67" xr:uid="{00000000-0002-0000-0000-000010000000}">
      <formula1>DBMems</formula1>
    </dataValidation>
    <dataValidation type="list" allowBlank="1" showInputMessage="1" showErrorMessage="1" errorTitle="Investment Strategy Error" error="Please choose one of the 5 Investment Strategies from the drop-down list." promptTitle="Long-Term Investment Strategy" prompt="What Long-Term Investment Strategy has been chosen by the Trustees for this member?  _x000a__x000a_If one strategy is in place for the whole Fund, choose that strategy here and leave the other three members as 'Same for whole Fund'." sqref="C60:C61" xr:uid="{00000000-0002-0000-0000-000011000000}">
      <formula1>$H$57:$H$61</formula1>
    </dataValidation>
    <dataValidation type="list" allowBlank="1" showInputMessage="1" showErrorMessage="1" errorTitle="Investment Strategy Error" error="Please choose one of the 5 Investment Strategies from the drop-down list - or choose 'Same for whole Fund' if appropriate." promptTitle="Long-Term Investment Strategy" prompt="What Long-Term Investment Strategy has been chosen by the Trustees for this member?  _x000a__x000a_If one strategy is in place for the whole Fund, choose that strategy here and leave the other three members as 'Same for whole Fund'." sqref="D60:F61" xr:uid="{00000000-0002-0000-0000-000012000000}">
      <formula1>$H$57:$H$62</formula1>
    </dataValidation>
    <dataValidation type="list" allowBlank="1" showInputMessage="1" showErrorMessage="1" errorTitle="DB Pension Member Error" error="Please choose the appropriate member from the drop-down menu." promptTitle="DB Pension Member" prompt="List each Defined Benefit Pension separately and for each one indicate which member is the beneficiary of the DB Pension._x000a__x000a_Please choose from the drop-down list." sqref="C67:H67" xr:uid="{00000000-0002-0000-0000-000013000000}">
      <formula1>DBMems</formula1>
    </dataValidation>
    <dataValidation type="date" allowBlank="1" showInputMessage="1" showErrorMessage="1" errorTitle="Invalid DB Commencement Date" error="Defined Benefit Pensions were not able to be commenced within SMSFs from 1st January 2006._x000a__x000a_Please check these details and ensure that this pension is a Defined Benefit Pension." promptTitle="Date DB Pension Commenced" prompt="What date did the DB Pension commence?_x000a__x000a_This had to be prior to 01/01/2006 as SMSFs were prevented from commencing new DB Pensions after that date." sqref="C68:H68" xr:uid="{00000000-0002-0000-0000-000014000000}">
      <formula1>33055</formula1>
      <formula2>38717</formula2>
    </dataValidation>
    <dataValidation type="date" allowBlank="1" showInputMessage="1" showErrorMessage="1" errorTitle="Invalid DB Commutation Date" error="This should only be shown if the pension ceased during the financial year in question." promptTitle="Date DB Pension Ceased" prompt="If the DBP was commuted during the year, or if the recipient passed away and there was no living reversionary, please indicate what date this occurred._x000a__x000a_This is only applicable if this occurred during the financial year in question." sqref="C69:H69" xr:uid="{00000000-0002-0000-0000-000015000000}">
      <formula1>yrstart</formula1>
      <formula2>yrend</formula2>
    </dataValidation>
    <dataValidation type="list" allowBlank="1" showInputMessage="1" showErrorMessage="1" errorTitle="Pension Design Error" error="Please choose an appropriate design from the drop-down menu." promptTitle="Pension Design" prompt="Defined Benefit Pensions are either Term (Life Expectancy), Single Life (Lifetime with nil reversion) or Reversionary (Lifetime with reversion to a second beneficiary)._x000a__x000a_Please choose from the drop-down menu." sqref="C70:H70" xr:uid="{00000000-0002-0000-0000-000016000000}">
      <formula1>"Term, Single Life, Reversionary"</formula1>
    </dataValidation>
    <dataValidation type="list" allowBlank="1" showInputMessage="1" showErrorMessage="1" errorTitle="SIS Pension Design Error" error="Please choose from the drop-down list." promptTitle="SIS Pension Design Specification" prompt="This should be listed on previous actuarial certificates for the Fund, it specifies the parameters of the pension." sqref="C71:H72" xr:uid="{00000000-0002-0000-0000-000017000000}">
      <formula1>"1.06(2) Lifetime, 1.06(7) Life Expectancy, 1.06(6) Flexi Pension"</formula1>
    </dataValidation>
    <dataValidation type="whole" operator="greaterThan" allowBlank="1" showInputMessage="1" showErrorMessage="1" promptTitle="DBP Payment Last Year" prompt="How much pension SHOULD have been paid in DBP Payments last year?_x000a__x000a_This is a very important part of the pension design and vital to accurate calculation of the level of assets required to support the pension." sqref="C73:H73" xr:uid="{00000000-0002-0000-0000-000018000000}">
      <formula1>0</formula1>
    </dataValidation>
    <dataValidation allowBlank="1" showInputMessage="1" showErrorMessage="1" promptTitle="Annual Indexation Level" prompt="For most pensions the annual pension payment is indexed to increase annually.  _x000a__x000a_This may be as a percentage (1%, 2% etc), CPI or CPI plus a percentage (e.g. CPI + 1%).  Please enter the indexation level for the pension." sqref="C74:H74" xr:uid="{00000000-0002-0000-0000-000019000000}"/>
    <dataValidation type="list" allowBlank="1" showInputMessage="1" showErrorMessage="1" promptTitle="Indexation Guaranteed" prompt="This is a vital aspect of the pension design.  _x000a__x000a_Some pensions have a targeted indexation rate but with NO guaranteed indexation rate.  We need to know what level of indexation is guaranteed (if any)._x000a__x000a_This impacts significantly on the pension valuation." sqref="C75:H75" xr:uid="{00000000-0002-0000-0000-00001A000000}">
      <formula1>"Yes, No"</formula1>
    </dataValidation>
    <dataValidation allowBlank="1" showInputMessage="1" showErrorMessage="1" promptTitle="Pension Expiry" prompt="If the pension is a Term Pension, please indicate the original term (i.e. Term from the commencement date).  Alternatively you could put the expiry date of the pension._x000a__x000a_If the pension is a Lifetime Pension, please show Lifetime or death as the expiry." sqref="C76:H77" xr:uid="{00000000-0002-0000-0000-00001B000000}"/>
    <dataValidation type="decimal" allowBlank="1" showInputMessage="1" showErrorMessage="1" promptTitle="Reversionary Percentage" prompt="If the pension is a Lifetime Reversionary pension, please indicate the level of reversion here._x000a__x000a_If the pensioner dies, what proportion of the annual pension rate would be paid from the reversionary pension to the reversionary beneficiary." sqref="C78:H78" xr:uid="{00000000-0002-0000-0000-00001C000000}">
      <formula1>0</formula1>
      <formula2>1</formula2>
    </dataValidation>
    <dataValidation type="date" allowBlank="1" showInputMessage="1" showErrorMessage="1" errorTitle="Reversionary DoB Error" error="Please enter the date of birth of the reversionary beneficiary in the format DD/MM/YYYY" promptTitle="Reversionary Date of Birth" prompt="What is the date of birth of the reversionary beneficiary (if there is one)? _x000a__x000a_Leave blank if the pension is not reversionary or if the reversionary beneficiary has already passed away." sqref="C79:H79" xr:uid="{00000000-0002-0000-0000-00001D000000}">
      <formula1>1</formula1>
      <formula2>38718</formula2>
    </dataValidation>
    <dataValidation type="list" allowBlank="1" showInputMessage="1" showErrorMessage="1" errorTitle="Reversionary Gender" error="Please choose from the drop-down menu." promptTitle="Reversionary Beneficiary Gender" prompt="What is the gender/sex of the reversionary beneficiary?" sqref="C80:H80" xr:uid="{00000000-0002-0000-0000-00001E000000}">
      <formula1>"Male, Female"</formula1>
    </dataValidation>
    <dataValidation type="whole" operator="greaterThanOrEqual" allowBlank="1" showInputMessage="1" showErrorMessage="1" errorTitle="RCV Error" error="Must be a positive whole number." promptTitle="Residual Capital Value" prompt="This doesn't apply for Complying Defined Benefit Pensions, only the non-complying/flexi pensions._x000a__x000a_Please enter the RCV as a dollar amount.  If the original RCV was 100% then please enter the original purchase price of the pension." sqref="C81:H81" xr:uid="{00000000-0002-0000-0000-00001F000000}">
      <formula1>0</formula1>
    </dataValidation>
    <dataValidation type="date" allowBlank="1" showInputMessage="1" showErrorMessage="1" errorTitle="Internal Transfer Date Error" error="Date must be during the Income Year in question in date format DD/MM/YYYY." promptTitle="Date of Internal Transfer" prompt="On what date did the Internal Transfer occur?_x000a__x000a_If it was on 1st July then it may be simplest to alter the Opening Balances to reflect the balances AFTER the internal transfer occurred.  The result for the calculation and the certificate will be the same." sqref="D101:D110" xr:uid="{00000000-0002-0000-0000-000020000000}">
      <formula1>yrstart</formula1>
      <formula2>yrend</formula2>
    </dataValidation>
    <dataValidation type="list" allowBlank="1" showInputMessage="1" showErrorMessage="1" errorTitle="From Account - IT" error="Please choose the appropriate account from the drop-down list." promptTitle="From Account - Internal Transfer" prompt="Which Account was the money transferred FROM?_x000a__x000a_Please check that the correct account is chosen." sqref="E101:E110" xr:uid="{00000000-0002-0000-0000-000021000000}">
      <formula1>$E$140:$E$154</formula1>
    </dataValidation>
    <dataValidation type="whole" operator="greaterThanOrEqual" allowBlank="1" showInputMessage="1" showErrorMessage="1" errorTitle="Internal Transfer Amount Error" error="Amounts should be in WHOLE DOLLARS and should be greater than zero." promptTitle="Internal Transfer Amount" prompt="How much was transferred between the accounts?_x000a__x000a_Only one entry should be required for each internal transfer." sqref="G101:G110" xr:uid="{00000000-0002-0000-0000-000022000000}">
      <formula1>0</formula1>
    </dataValidation>
    <dataValidation type="list" allowBlank="1" showInputMessage="1" showErrorMessage="1" errorTitle="From Account Zero Error" error="Please choose Yes or No from the Drop Down Menu!" promptTitle="Was FROM Account emptied out?" prompt="After the Internal Transfer was the FROM account drained to zero or not?_x000a__x000a_This is very important for the accuracy of the calculation." sqref="H101:I110" xr:uid="{00000000-0002-0000-0000-000023000000}">
      <formula1>"Yes, No"</formula1>
    </dataValidation>
    <dataValidation type="whole" operator="greaterThanOrEqual" allowBlank="1" showInputMessage="1" showErrorMessage="1" errorTitle="How Much Left Error" error="Amounts should be in WHOLE DOLLARS and should be greater than zero." promptTitle="Internal Transfer How Much Left?" prompt="If the FROM account wasn't drained to zero, what was it's balance immediately after the Internal Transfer?_x000a__x000a_This is vital for accurate calculation of the tax exempt percentage." sqref="J101:J110" xr:uid="{00000000-0002-0000-0000-000024000000}">
      <formula1>0</formula1>
    </dataValidation>
    <dataValidation type="whole" operator="greaterThanOrEqual" allowBlank="1" showInputMessage="1" showErrorMessage="1" errorTitle="Accum Opening Bal Error" error="Opening Balance must be a whole number greater than or equal to zero." promptTitle="Accumulation Account Balance" prompt="If the member had an accumulation (non-pension) account during the year, what was it's Opening Balance at 1st July?" sqref="D115:G115" xr:uid="{00000000-0002-0000-0000-000025000000}">
      <formula1>0</formula1>
    </dataValidation>
    <dataValidation type="whole" operator="greaterThanOrEqual" allowBlank="1" showInputMessage="1" showErrorMessage="1" errorTitle="AB Pension Error" error="Whole Numbers only - greater than or equal to zero." promptTitle="Account-Based Pension 1st July" prompt="What was the total of the balances of the Account-Based Pensions for this member at 1st July?_x000a__x000a_If a new pension was commenced on 1st July, include it's balance here but don't show it in the Accumulation Balance and don't list it as an Internal Transfer." sqref="D116:G116" xr:uid="{00000000-0002-0000-0000-000026000000}">
      <formula1>0</formula1>
    </dataValidation>
    <dataValidation type="whole" operator="greaterThanOrEqual" allowBlank="1" showInputMessage="1" showErrorMessage="1" errorTitle="DB Pens Balance Error" error="Whole numbers only - greater than or equal to zero." promptTitle="Defined Benefit Pension 1st July" prompt="If the member had DB Pension/s, list the total of the assets supporting those pensions at 1st July here (including any reserve accounts for those pensions)." sqref="D117:G117" xr:uid="{00000000-0002-0000-0000-000027000000}">
      <formula1>0</formula1>
    </dataValidation>
    <dataValidation type="whole" operator="greaterThanOrEqual" allowBlank="1" showInputMessage="1" showErrorMessage="1" errorTitle="Contributions Error" error="Whole numbers only - greater than or equal to zero." promptTitle="Contributions" prompt="These include both taxable and non-taxable contributions.  For the caculation of the tax exempt percentage the contribution tax has a negligible impact._x000a__x000a_Include all contributions for each member." sqref="D120:G120" xr:uid="{00000000-0002-0000-0000-000028000000}">
      <formula1>0</formula1>
    </dataValidation>
    <dataValidation type="whole" operator="greaterThanOrEqual" allowBlank="1" showInputMessage="1" showErrorMessage="1" errorTitle="Transfers In Error" error="Whole Dollar amounts only.  All amounts should be non-negative." promptTitle="Transfers In (External Roll-Ins)" prompt="These are the roll-ins to the Fund for a member from external Funds._x000a__x000a_We will always assume that these have gone into an accumulation (non-pension) account.  If they have gone into a pension account, please show a new pension in the Internal Transfers." sqref="D121:G121" xr:uid="{00000000-0002-0000-0000-000029000000}">
      <formula1>0</formula1>
    </dataValidation>
    <dataValidation type="whole" operator="greaterThanOrEqual" allowBlank="1" showInputMessage="1" showErrorMessage="1" errorTitle="Accumulation Benefits Error" error="Whole numbers only - must be greater than or equal to zero." promptTitle="Accumulation Benefits Paid" prompt="Any withdrawals from the Accumulation (non-pension) accounts show the totals here and the individual transactions in the Transaction Dates section below._x000a__x000a_Be careful to choose ACCUMULATION BENEFIT as the Transaction Type in the Transaction Dates section." sqref="D122:G122" xr:uid="{00000000-0002-0000-0000-00002A000000}">
      <formula1>0</formula1>
    </dataValidation>
    <dataValidation type="whole" operator="greaterThanOrEqual" allowBlank="1" showInputMessage="1" showErrorMessage="1" errorTitle="Account-Based Benefits Error" error="Whole numbers only - must be greater than or equal to zero." promptTitle="Account-Based Pension Benefits" prompt="What was the total in pension payments (and other withdrawals) that were made from the Account-Based Pension Account/s for this member?_x000a__x000a_Be sure to choose ACCOUNT-BASED PMNT as the Transaction Type in the Transaction Dates section below." sqref="D123:G123" xr:uid="{00000000-0002-0000-0000-00002B000000}">
      <formula1>0</formula1>
    </dataValidation>
    <dataValidation type="whole" operator="greaterThanOrEqual" allowBlank="1" showInputMessage="1" showErrorMessage="1" errorTitle="Defined Benefits Error" error="Whole numbers only - must be greater than or equal to zero." promptTitle="Defined-Benefit Pension Benefits" prompt="What was the total of Defined Benefit Pension Payments made for this member from their DB Pensions during the income year in question._x000a__x000a_Be sure to choose DEFINED-BENEFIT PMNT as the Transaction Type in the Transaction Dates table below." sqref="D124:G124" xr:uid="{00000000-0002-0000-0000-00002C000000}">
      <formula1>0</formula1>
    </dataValidation>
    <dataValidation type="whole" allowBlank="1" showInputMessage="1" showErrorMessage="1" errorTitle="Net Income Error" error="Whole numbers only." promptTitle="Net Income per Member" prompt="What was the total net income allocated to each member at the end of the financial year.  _x000a__x000a_This is necessary to help us to determine whether there are sufficient assets available to support the Defined Benefit Pensions." sqref="D125:G125" xr:uid="{00000000-0002-0000-0000-00002D000000}">
      <formula1>-99999999</formula1>
      <formula2>99999999</formula2>
    </dataValidation>
    <dataValidation type="whole" operator="greaterThanOrEqual" allowBlank="1" showInputMessage="1" showErrorMessage="1" errorTitle="Accumulation Closing Bal Error" error="Whole numbers only - must be greater than or equal to zero." promptTitle="Accumulation Account Closing Bal" prompt="Please show the Closing Balance of the Accumulation Account per member at 30th June of the Income Year in question." sqref="D127:G127" xr:uid="{00000000-0002-0000-0000-00002E000000}">
      <formula1>0</formula1>
    </dataValidation>
    <dataValidation type="whole" operator="greaterThanOrEqual" allowBlank="1" showInputMessage="1" showErrorMessage="1" errorTitle="ABP Closing Balance Error" error="Whole numbers only - must be greater than or equal to zero." promptTitle="AccountBased Pension Closing Bal" prompt="Please show the total of the Closing Balances of the Account-Based Pensions for each member.  _x000a__x000a_If a member had multiple ABPs, please combine their closing balances into one figure." sqref="D128:G128" xr:uid="{00000000-0002-0000-0000-00002F000000}">
      <formula1>0</formula1>
    </dataValidation>
    <dataValidation type="whole" allowBlank="1" showInputMessage="1" showErrorMessage="1" errorTitle="DBP Closing Balance Error" error="Whole numbers only - must be greater than or equal to zero." promptTitle="DB Pensions Closing Balance" prompt="Please show the total of the Closing Balances of the Defined Benefit Pensions for each member.  _x000a__x000a_If a member had multiple DBPs, please combine their closing balances into one figure (including the balance of any pension reserves)." sqref="D129:G129" xr:uid="{00000000-0002-0000-0000-000030000000}">
      <formula1>-99999999</formula1>
      <formula2>99999999</formula2>
    </dataValidation>
    <dataValidation type="list" allowBlank="1" showInputMessage="1" showErrorMessage="1" errorTitle="Sate/Territory Error" error="Please choose from the drop-down list.  Typing it directly can create errors due to capitalisation and punctuation." promptTitle="Postal Address - State/Territory" prompt="State or Territory that your company is located in." sqref="H10" xr:uid="{00000000-0002-0000-0000-000031000000}">
      <formula1>$H$11:$H$18</formula1>
    </dataValidation>
    <dataValidation type="list" allowBlank="1" showInputMessage="1" showErrorMessage="1" errorTitle="Income Year Error" error="Please use the drop-down box to choose the appropriate year.  If the year you require isn't on the list, please call 1800 230 737." promptTitle="Income Year of Certificate" prompt="We must calculate the tax exempt percentage for the entire financial year.  We cannot calculate it for the current year (unless the Fund has been wound up during the year)." sqref="F44" xr:uid="{00000000-0002-0000-0000-000032000000}">
      <formula1>FYears</formula1>
    </dataValidation>
    <dataValidation type="date" allowBlank="1" showInputMessage="1" showErrorMessage="1" errorTitle="Date of Birth Error" error="Dates of Birth need to be in the format DD/MM/YYYY.  If this isn't working check the 'short date' format in your Control Panel." promptTitle="Member Date of Birth" prompt="Please enter the Date of Birth for members with account balances._x000a__x000a_Please use the correct date format DD/MM/YYYY.  If this doesn't work you may need to change the 'short date' format in the Control Panel of your computer." sqref="D37:G37" xr:uid="{00000000-0002-0000-0000-000033000000}">
      <formula1>1</formula1>
      <formula2>40360</formula2>
    </dataValidation>
    <dataValidation type="whole" allowBlank="1" showInputMessage="1" showErrorMessage="1" errorTitle="Invalid Client Reference Number" error="This must be a 4 digit number provided to you by Act2 Solutions." promptTitle="Client Reference Number" prompt="To aid invoicing and following up of applications, it is simpler if each client has a unique Client Reference Number._x000a__x000a_If you know the Reference Number of your company, please enter it.  The Reference Number is provided in each confirmation email." sqref="J8" xr:uid="{00000000-0002-0000-0000-000034000000}">
      <formula1>1001</formula1>
      <formula2>9999</formula2>
    </dataValidation>
    <dataValidation type="whole" allowBlank="1" showInputMessage="1" showErrorMessage="1" errorTitle="Postcode Error!" error="I think you might have made a typo!" promptTitle="Postal Address - Postcode" prompt="Please ensure this coincides with the Postal Address not the Street Address." sqref="J10" xr:uid="{00000000-0002-0000-0000-000035000000}">
      <formula1>0</formula1>
      <formula2>9999</formula2>
    </dataValidation>
    <dataValidation allowBlank="1" showInputMessage="1" showErrorMessage="1" promptTitle="Company Name" prompt="The name of the firm providing the information to Act2 and ultimately receiving the actuarial certificate." sqref="D8:G8" xr:uid="{00000000-0002-0000-0000-000036000000}"/>
    <dataValidation allowBlank="1" showInputMessage="1" showErrorMessage="1" promptTitle="Postal Address" prompt="In most cases this is used simply to help identify the company (sometimes just the Company Name is not sufficient)._x000a__x000a_If you have a PO (or GPO) Box, please provide those details rather than the street address." sqref="D9:G9" xr:uid="{00000000-0002-0000-0000-000037000000}"/>
    <dataValidation allowBlank="1" showInputMessage="1" showErrorMessage="1" promptTitle="Postal Address- Town/Suburb/City" prompt="Please enter the Town, Suburb or City of your Postal Address." sqref="D10:F10" xr:uid="{00000000-0002-0000-0000-000038000000}"/>
    <dataValidation allowBlank="1" showInputMessage="1" showErrorMessage="1" promptTitle="Contact Name" prompt="It is important to know who should be contacted in case further details or clarification is necessary.  This is also assumed to be the person we will send the results to._x000a__x000a_Most often it is YOU or your supervisor." sqref="D19:E19" xr:uid="{00000000-0002-0000-0000-000039000000}"/>
    <dataValidation allowBlank="1" showInputMessage="1" showErrorMessage="1" promptTitle="Contact Person - email address" prompt="This is where the certificate, letter and invoice will be emailed to (as well as the tax exempt percentage once it has been calculated)._x000a__x000a_It is also a point of contact for further information if required." sqref="H19:J19" xr:uid="{00000000-0002-0000-0000-00003A000000}"/>
    <dataValidation allowBlank="1" showInputMessage="1" showErrorMessage="1" promptTitle="Name of Additional Recipient" prompt="THIS IS NOT A REQUIRED FIELD._x000a__x000a_Only complete this if you would like a copy of the certificate, letter and invoice to be emailed to another email address." sqref="D20:E20" xr:uid="{00000000-0002-0000-0000-00003B000000}"/>
    <dataValidation allowBlank="1" showInputMessage="1" showErrorMessage="1" promptTitle="Additional Email Address/es" prompt="NOT A REQUIRED FIELD._x000a__x000a_You can have copies of the tax exempt percentage email as well as the certificate, letter and invoice emailed to extra email addresses.  If you wish to have more than one address in here, separate with semi-colon and space (&quot;; &quot;)" sqref="H20:J20" xr:uid="{00000000-0002-0000-0000-00003C000000}"/>
    <dataValidation allowBlank="1" showInputMessage="1" showErrorMessage="1" promptTitle="Name of Superannuation Fund" prompt="Please ensure the Fund Name is exactly as set out in the Trust Deed._x000a__x000a_DO NOT include Trustee information in the Fund Name (do NOT enter something like ABC Pty Ltd ATF ABC Superannuation Fund)." sqref="D24:J24" xr:uid="{00000000-0002-0000-0000-00003D000000}"/>
    <dataValidation allowBlank="1" showInputMessage="1" showErrorMessage="1" promptTitle="Corporate Trustee" prompt="If the Fund has a Corporate Trustee (i.e. ABC Pty Ltd) then please provide that company name here. Don't include individual trustee names or directors of the corporate trustee._x000a__x000a_If the Trustees are simply individuals, leave this field blank." sqref="D25:G25" xr:uid="{00000000-0002-0000-0000-00003E000000}"/>
    <dataValidation allowBlank="1" showInputMessage="1" showErrorMessage="1" promptTitle="Trustee Names" prompt="Please enter the name of each Trustee in full, using a separate row for each trustee._x000a__x000a_Do not complete if you have provided Corporate Trustee details." sqref="D26:G29" xr:uid="{00000000-0002-0000-0000-00003F000000}"/>
    <dataValidation allowBlank="1" showInputMessage="1" showErrorMessage="1" promptTitle="Member Firstname" prompt="Please enter only the Firstname of the member in this field, unless there are two members with the same name.  _x000a__x000a_In that case please include the middle initial (or name if necessary) for each of those members." sqref="D35:G35" xr:uid="{00000000-0002-0000-0000-000040000000}"/>
    <dataValidation allowBlank="1" showInputMessage="1" showErrorMessage="1" promptTitle="Member Surname" prompt="Please enter only the members Surname in this field._x000a__x000a_For the applciation, please list only those members who held account balances during the income year in question." sqref="D36:G36" xr:uid="{00000000-0002-0000-0000-000041000000}"/>
    <dataValidation type="list" allowBlank="1" showInputMessage="1" showErrorMessage="1" errorTitle="Member Gender Error" error="Please choose from the drop-down list." promptTitle="Member Gender" prompt="Male or Female, please choose from the drop-down list." sqref="D38:G38" xr:uid="{00000000-0002-0000-0000-000042000000}">
      <formula1>"Male, Female"</formula1>
    </dataValidation>
    <dataValidation type="date" allowBlank="1" showInputMessage="1" showErrorMessage="1" errorTitle="Date Fund Ceased Error" error="Date must be within the income year in question in date format DD/MM/YYYY._x000a__x000a_Do not include unless the Fund wound up during the income year in question." promptTitle="Date Fund Ceased" prompt="Only complete this if the Fund was wound-up during the income year in question._x000a__x000a_Date format DD/MM/YYYY" sqref="F46" xr:uid="{00000000-0002-0000-0000-000043000000}">
      <formula1>yrstart</formula1>
      <formula2>yrend</formula2>
    </dataValidation>
    <dataValidation type="list" allowBlank="1" showInputMessage="1" showErrorMessage="1" errorTitle="Segregated Assets Error" error="Please choose Yes or No from the drop down menu." promptTitle="Segregated Assets" prompt="If the Fund has SOME segregated assets, the calculation of the percentage needs to be performed on everything OTHER THAN the segregated assets._x000a__x000a_If this is the case, choose Yes and DO NOT INCLUDE the values of the segregated assets in the form." sqref="H46" xr:uid="{00000000-0002-0000-0000-000044000000}">
      <formula1>"Yes, No"</formula1>
    </dataValidation>
    <dataValidation type="list" allowBlank="1" showInputMessage="1" showErrorMessage="1" errorTitle="Super Guarantee Error" error="Please choose Yes or No from the drop-down menu." promptTitle="Super Guarantee obligations" prompt="We need to know whether any Superannuation Guarantee contributions have been made to any of the member accounts within this Fund so we can make a statement within the certificate that complies with SIS Regulations and the Institute of Actuaries." sqref="I50" xr:uid="{00000000-0002-0000-0000-000045000000}">
      <formula1>"Yes, No"</formula1>
    </dataValidation>
    <dataValidation allowBlank="1" showInputMessage="1" showErrorMessage="1" promptTitle="Total SG Contributions" prompt="If the Fund is being used by employers for SG Contributions,it is a legislative requirement that we report on the accumulated value of the SG Contributions into the Fund." sqref="H52" xr:uid="{00000000-0002-0000-0000-000046000000}"/>
    <dataValidation type="list" allowBlank="1" showInputMessage="1" showErrorMessage="1" promptTitle="Funding and Solvency Certificate" prompt="If the Fund is being used by employers for SG Contributions, we need to see a copy of the most recent Funding and Solvency Certificate so that the actuary can make the statements required under SIS." sqref="H53" xr:uid="{00000000-0002-0000-0000-000047000000}">
      <formula1>"Yes, No"</formula1>
    </dataValidation>
    <dataValidation type="list" allowBlank="1" showInputMessage="1" showErrorMessage="1" promptTitle="Unqualified Audit Opinion Issued" prompt="The actuarial professional standards that apply to these certificates requires the report to be qualified if the asset value used is not audited by an approved auditor." sqref="H135" xr:uid="{00000000-0002-0000-0000-000048000000}">
      <formula1>"Yes, No"</formula1>
    </dataValidation>
    <dataValidation type="whole" operator="greaterThan" allowBlank="1" showInputMessage="1" showErrorMessage="1" promptTitle="No unqualified audit opinion" prompt="We need to know the net market value of the assets not including any assets that fall outside of the legislation for SMSFs." sqref="H138" xr:uid="{00000000-0002-0000-0000-000049000000}">
      <formula1>0</formula1>
    </dataValidation>
    <dataValidation allowBlank="1" showInputMessage="1" showErrorMessage="1" promptTitle="Contact Person - email address" prompt="This is where the invoice will be emailed to." sqref="H241:J241" xr:uid="{00000000-0002-0000-0000-00004A000000}"/>
    <dataValidation allowBlank="1" showInputMessage="1" showErrorMessage="1" promptTitle="Contact Name" prompt="It is important for us to know who should be contacted in case payment is overdue." sqref="D241:E241" xr:uid="{00000000-0002-0000-0000-00004B000000}"/>
    <dataValidation type="list" allowBlank="1" showInputMessage="1" showErrorMessage="1" errorTitle="Expiry Year Error" error="Please choose the last two digits of the expiry year from the drop-down list or enter as a 2-digit number e.g. &quot;12&quot; for 2012._x000a__x000a_Hit Esc and try again." promptTitle="Credit Card Year of Expiry" prompt="Please choose the last two digits of the expiry year from the drop-down list or enter as a 2-digit number e.g. &quot;12&quot; for 2012." sqref="G247" xr:uid="{00000000-0002-0000-0000-00004C000000}">
      <formula1>"10,11,12,13,14,15,16,17,18,19,20"</formula1>
    </dataValidation>
    <dataValidation type="list" allowBlank="1" showInputMessage="1" showErrorMessage="1" errorTitle="Error with Expiry Month" error="Please either choose the month from the drop-down list or enter the month as a 2-digit number e.g. &quot;02&quot; for February._x000a__x000a_Hit Esc and try again." promptTitle="Month Credit Card Expires" prompt="Please either choose the month from the drop-down list or enter the month as a 2-digit number e.g. &quot;01&quot; for January." sqref="E247" xr:uid="{00000000-0002-0000-0000-00004D000000}">
      <formula1>"01,02,03,04,05,06,07,08,09,10,11,12"</formula1>
    </dataValidation>
    <dataValidation type="list" allowBlank="1" showInputMessage="1" showErrorMessage="1" errorTitle="Credit Card Type" error="Can only be Mastercard or VISA - please choose from the drop-down list._x000a__x000a_Hit Esc to try again." promptTitle="Credit Card Type" prompt="Sorry but we can only handle processing of purchases from Mastercard or VISA cards._x000a__x000a_We apologise for any inconvenience caused._x000a__x000a_Please choose one of these from the drop-down menu." sqref="C247" xr:uid="{00000000-0002-0000-0000-00004E000000}">
      <formula1>"Mastercard, VISA"</formula1>
    </dataValidation>
    <dataValidation allowBlank="1" showInputMessage="1" showErrorMessage="1" promptTitle="Name as appears on Credit Card" prompt="Card Holders name only - do not include company name." sqref="D246:G246" xr:uid="{00000000-0002-0000-0000-00004F000000}"/>
    <dataValidation type="textLength" operator="equal" allowBlank="1" showInputMessage="1" showErrorMessage="1" errorTitle="Credit Card Number Error" error="Please enter four digits (only) in each of the four cells for the Credit Card Number._x000a__x000a_Hit Esc to try again." promptTitle="Credit Card Number (groups of 4)" prompt="Please enter the Credit Card Number four digits at a time in each of the four cells here._x000a__x000a_Hit Tab to move to the next cell." sqref="D245:G245" xr:uid="{00000000-0002-0000-0000-000050000000}">
      <formula1>4</formula1>
    </dataValidation>
    <dataValidation type="whole" allowBlank="1" showInputMessage="1" showErrorMessage="1" errorTitle="Postcode Error" error="I think you may have made a typo!" promptTitle="Postal Address - Postcode" prompt="Please ensure this coincides with the Postal Address not the Street Address." sqref="J232" xr:uid="{00000000-0002-0000-0000-000051000000}">
      <formula1>0</formula1>
      <formula2>9999</formula2>
    </dataValidation>
    <dataValidation allowBlank="1" showInputMessage="1" showErrorMessage="1" promptTitle="Postal Address- Town/Suburb/City" prompt="Please enter the Town, Suburb or City of the Postal Address of the Company/Individual being invoiced." sqref="D232:F232" xr:uid="{00000000-0002-0000-0000-000052000000}"/>
    <dataValidation allowBlank="1" showInputMessage="1" showErrorMessage="1" promptTitle="Postal Address" prompt="If they have a PO (or GPO) Box, please provide those details rather than the street address." sqref="D231:G231" xr:uid="{00000000-0002-0000-0000-000053000000}"/>
    <dataValidation allowBlank="1" showInputMessage="1" showErrorMessage="1" promptTitle="Company being Invoiced" prompt="The name of the firm or individual making the payment to Act2 (only if different from the Administration Company listed at the top of this form)." sqref="D230:G230" xr:uid="{00000000-0002-0000-0000-000054000000}"/>
    <dataValidation type="list" allowBlank="1" showInputMessage="1" showErrorMessage="1" errorTitle="State/Territory Error" error="Please choose from the drop-down list.  Typing it directly can create errors due to capitalisation and punctuation." promptTitle="Postal Address - State/Territory" prompt="State or Territory that the Invoiced Company is located in." sqref="H232" xr:uid="{00000000-0002-0000-0000-000055000000}">
      <formula1>$H$11:$H$18</formula1>
    </dataValidation>
    <dataValidation allowBlank="1" showInputMessage="1" showErrorMessage="1" promptTitle="Phone Number" prompt="Use spaces to maintain good formatting. _x000a__x000a_e.g 03 9876 5432 or 1800 230 737" sqref="J9" xr:uid="{00000000-0002-0000-0000-000056000000}"/>
    <dataValidation allowBlank="1" showInputMessage="1" showErrorMessage="1" promptTitle="Client's Fund Reference" prompt="Some firms use a unique identifier for each of their Super Funds (often due to duplication or similarity of fund names)._x000a__x000a_If you have a unique code to identify this fund, please enter it here and we will include it in our invoice." sqref="J29" xr:uid="{00000000-0002-0000-0000-000057000000}"/>
    <dataValidation type="list" allowBlank="1" showInputMessage="1" showErrorMessage="1" sqref="F101:F110" xr:uid="{00000000-0002-0000-0000-000058000000}">
      <formula1>$F$140:$F$148</formula1>
    </dataValidation>
    <dataValidation allowBlank="1" showInputMessage="1" showErrorMessage="1" promptTitle="ABN of Super Fund" prompt="To assist in identifying the Fund correctly, some of our larger clients prefer that the ABN of the Superannuation Fund is provided here to help distinguish Funds with similar names." sqref="J28" xr:uid="{ED3F3938-1CAC-4CBF-8BD8-F1EF4B5756B5}"/>
  </dataValidations>
  <printOptions horizontalCentered="1"/>
  <pageMargins left="0.23622047244094491" right="0.23622047244094491" top="0.49" bottom="0.47" header="0.24" footer="0.24"/>
  <pageSetup paperSize="9" orientation="landscape" r:id="rId1"/>
  <headerFooter alignWithMargins="0">
    <oddHeader>&amp;LAct2 Solutions Pty Ltd&amp;RDBP Application Form</oddHeader>
    <oddFooter>Page &amp;P of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5226CCE7BA5E4ABD735B21DDC14450" ma:contentTypeVersion="14" ma:contentTypeDescription="Create a new document." ma:contentTypeScope="" ma:versionID="a2f5b09df6828b29423b033369147f80">
  <xsd:schema xmlns:xsd="http://www.w3.org/2001/XMLSchema" xmlns:xs="http://www.w3.org/2001/XMLSchema" xmlns:p="http://schemas.microsoft.com/office/2006/metadata/properties" xmlns:ns2="3b5e9c17-564e-4945-a591-44acb7557413" xmlns:ns3="ac2f818d-5d3d-439e-8d50-115c04a2a421" targetNamespace="http://schemas.microsoft.com/office/2006/metadata/properties" ma:root="true" ma:fieldsID="11259a0c1082677b4dbb873f84e3b7e3" ns2:_="" ns3:_="">
    <xsd:import namespace="3b5e9c17-564e-4945-a591-44acb7557413"/>
    <xsd:import namespace="ac2f818d-5d3d-439e-8d50-115c04a2a42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5e9c17-564e-4945-a591-44acb75574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2f818d-5d3d-439e-8d50-115c04a2a42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499e6e7-8b18-4ca9-a4a3-78d803456f3d}" ma:internalName="TaxCatchAll" ma:showField="CatchAllData" ma:web="ac2f818d-5d3d-439e-8d50-115c04a2a4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c2f818d-5d3d-439e-8d50-115c04a2a421" xsi:nil="true"/>
  </documentManagement>
</p:properties>
</file>

<file path=customXml/itemProps1.xml><?xml version="1.0" encoding="utf-8"?>
<ds:datastoreItem xmlns:ds="http://schemas.openxmlformats.org/officeDocument/2006/customXml" ds:itemID="{4EBBEE9D-1B0B-4E22-8287-9FE50A5B7E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5e9c17-564e-4945-a591-44acb7557413"/>
    <ds:schemaRef ds:uri="ac2f818d-5d3d-439e-8d50-115c04a2a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3B7D96-57F4-4A1C-87F9-04F01035E49A}">
  <ds:schemaRefs>
    <ds:schemaRef ds:uri="http://schemas.microsoft.com/sharepoint/v3/contenttype/forms"/>
  </ds:schemaRefs>
</ds:datastoreItem>
</file>

<file path=customXml/itemProps3.xml><?xml version="1.0" encoding="utf-8"?>
<ds:datastoreItem xmlns:ds="http://schemas.openxmlformats.org/officeDocument/2006/customXml" ds:itemID="{2278FDB5-44A0-45A3-8787-438DB2FFC4BC}">
  <ds:schemaRefs>
    <ds:schemaRef ds:uri="http://schemas.microsoft.com/office/2006/metadata/properties"/>
    <ds:schemaRef ds:uri="http://schemas.microsoft.com/office/infopath/2007/PartnerControls"/>
    <ds:schemaRef ds:uri="ac2f818d-5d3d-439e-8d50-115c04a2a4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44</vt:i4>
      </vt:variant>
    </vt:vector>
  </HeadingPairs>
  <TitlesOfParts>
    <vt:vector size="45" baseType="lpstr">
      <vt:lpstr>DBP</vt:lpstr>
      <vt:lpstr>ABPEnd1</vt:lpstr>
      <vt:lpstr>ABPEnd2</vt:lpstr>
      <vt:lpstr>ABPEnd3</vt:lpstr>
      <vt:lpstr>ABPEnd4</vt:lpstr>
      <vt:lpstr>ABPSt1</vt:lpstr>
      <vt:lpstr>ABPSt2</vt:lpstr>
      <vt:lpstr>ABPSt3</vt:lpstr>
      <vt:lpstr>ABPSt4</vt:lpstr>
      <vt:lpstr>DBMems</vt:lpstr>
      <vt:lpstr>DBPEnd1</vt:lpstr>
      <vt:lpstr>DBPEnd2</vt:lpstr>
      <vt:lpstr>DBPEnd3</vt:lpstr>
      <vt:lpstr>DBPEnd4</vt:lpstr>
      <vt:lpstr>estdate</vt:lpstr>
      <vt:lpstr>finyear</vt:lpstr>
      <vt:lpstr>FYears</vt:lpstr>
      <vt:lpstr>m1accum</vt:lpstr>
      <vt:lpstr>m1dpens</vt:lpstr>
      <vt:lpstr>m1pens</vt:lpstr>
      <vt:lpstr>m2accum</vt:lpstr>
      <vt:lpstr>m2dpens</vt:lpstr>
      <vt:lpstr>m2pens</vt:lpstr>
      <vt:lpstr>m3accum</vt:lpstr>
      <vt:lpstr>m3dpens</vt:lpstr>
      <vt:lpstr>m3pens</vt:lpstr>
      <vt:lpstr>m4accum</vt:lpstr>
      <vt:lpstr>m4dpens</vt:lpstr>
      <vt:lpstr>m4pens</vt:lpstr>
      <vt:lpstr>mdob1</vt:lpstr>
      <vt:lpstr>mdob2</vt:lpstr>
      <vt:lpstr>mdob3</vt:lpstr>
      <vt:lpstr>mdob4</vt:lpstr>
      <vt:lpstr>mname1</vt:lpstr>
      <vt:lpstr>mname2</vt:lpstr>
      <vt:lpstr>mname3</vt:lpstr>
      <vt:lpstr>mname4</vt:lpstr>
      <vt:lpstr>DBP!Print_Area</vt:lpstr>
      <vt:lpstr>res</vt:lpstr>
      <vt:lpstr>start_year</vt:lpstr>
      <vt:lpstr>transtypes</vt:lpstr>
      <vt:lpstr>txtenddate</vt:lpstr>
      <vt:lpstr>txtstdate</vt:lpstr>
      <vt:lpstr>yrend</vt:lpstr>
      <vt:lpstr>yrstart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OMeagher</dc:creator>
  <cp:lastModifiedBy>Andy O'Meagher</cp:lastModifiedBy>
  <dcterms:created xsi:type="dcterms:W3CDTF">2014-03-22T03:13:19Z</dcterms:created>
  <dcterms:modified xsi:type="dcterms:W3CDTF">2025-11-19T06:25:35Z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234818400</vt:r8>
  </property>
  <property fmtid="{D5CDD505-2E9C-101B-9397-08002B2CF9AE}" pid="3" name="xd_ProgID">
    <vt:lpwstr/>
  </property>
  <property fmtid="{D5CDD505-2E9C-101B-9397-08002B2CF9AE}" pid="4" name="ContentTypeId">
    <vt:lpwstr>0x010100865226CCE7BA5E4ABD735B21DDC14450</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