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S:\EXCEL FORMS\"/>
    </mc:Choice>
  </mc:AlternateContent>
  <xr:revisionPtr revIDLastSave="0" documentId="13_ncr:1_{A7DB3E7A-1106-4F83-88DF-4AB945EBA90D}" xr6:coauthVersionLast="47" xr6:coauthVersionMax="47" xr10:uidLastSave="{00000000-0000-0000-0000-000000000000}"/>
  <bookViews>
    <workbookView showSheetTabs="0" xWindow="38280" yWindow="5175" windowWidth="29040" windowHeight="15720" tabRatio="775" xr2:uid="{00000000-000D-0000-FFFF-FFFF00000000}"/>
  </bookViews>
  <sheets>
    <sheet name="283" sheetId="9" r:id="rId1"/>
    <sheet name="GL" sheetId="8" state="veryHidden" r:id="rId2"/>
  </sheets>
  <definedNames>
    <definedName name="anyPens">'283'!$M$56</definedName>
    <definedName name="balA1">GL!$AC$3</definedName>
    <definedName name="balA2">GL!$AF$3</definedName>
    <definedName name="balA3">GL!$AI$3</definedName>
    <definedName name="balA4">GL!$AL$3</definedName>
    <definedName name="balP1">GL!$AB$3</definedName>
    <definedName name="balP2">GL!$AE$3</definedName>
    <definedName name="balP3">GL!$AH$3</definedName>
    <definedName name="balP4">GL!$AK$3</definedName>
    <definedName name="calcNOgood">GL!$A$105</definedName>
    <definedName name="DaysInYear" localSheetId="1">GL!$I$107</definedName>
    <definedName name="DS_Amt_Start">'283'!$D$257</definedName>
    <definedName name="DS_Start">'283'!$L$235</definedName>
    <definedName name="dspend">GL!$BL$3</definedName>
    <definedName name="dspstart">GL!$BK$3</definedName>
    <definedName name="end_year">'283'!$N$44</definedName>
    <definedName name="EndPeriods">GL!$CF$3</definedName>
    <definedName name="EndValue">'283'!$L$264</definedName>
    <definedName name="ErrorFlag">GL!$O$106</definedName>
    <definedName name="estdate">'283'!$F$45</definedName>
    <definedName name="fclbal">'283'!$J$89</definedName>
    <definedName name="finyear">'283'!$F$44</definedName>
    <definedName name="FYears">'283'!$P$42:$P$53</definedName>
    <definedName name="IntTransTypes">'283'!$B$72:$B$76</definedName>
    <definedName name="ITError">GL!$O$107</definedName>
    <definedName name="LastPer">'283'!$L$249</definedName>
    <definedName name="m1accum">'283'!$D$52</definedName>
    <definedName name="m1PBal">'283'!$L$267</definedName>
    <definedName name="m1pens">'283'!$D$56</definedName>
    <definedName name="m1TBal">'283'!$L$268</definedName>
    <definedName name="m2accum">'283'!$E$52</definedName>
    <definedName name="m2PBal">'283'!$M$267</definedName>
    <definedName name="m2pens">'283'!$E$56</definedName>
    <definedName name="m2TBal">'283'!$M$268</definedName>
    <definedName name="m3accum">'283'!$F$52</definedName>
    <definedName name="m3PBal">'283'!$N$267</definedName>
    <definedName name="m3pens">'283'!$F$56</definedName>
    <definedName name="m3TBal">'283'!$N$268</definedName>
    <definedName name="m4accum">'283'!$G$52</definedName>
    <definedName name="m4PBal">'283'!$O$267</definedName>
    <definedName name="m4pens">'283'!$G$56</definedName>
    <definedName name="m4TBal">'283'!$O$268</definedName>
    <definedName name="mdob1">'283'!$D$39</definedName>
    <definedName name="mdob2">'283'!$E$39</definedName>
    <definedName name="mdob3">'283'!$F$39</definedName>
    <definedName name="mdob4">'283'!$G$39</definedName>
    <definedName name="MemAccts">'283'!$E$72:$E$80</definedName>
    <definedName name="MemBal1">GL!$AR$375</definedName>
    <definedName name="MemBal2">GL!$AS$375</definedName>
    <definedName name="MemBal3">GL!$AT$375</definedName>
    <definedName name="MemBal4">GL!$AU$375</definedName>
    <definedName name="middate" localSheetId="1">GL!$C$1</definedName>
    <definedName name="mname1">'283'!$D$37</definedName>
    <definedName name="mname2">'283'!$E$37</definedName>
    <definedName name="mname3">'283'!$F$37</definedName>
    <definedName name="mname4">'283'!$G$37</definedName>
    <definedName name="msname1">'283'!$D$38</definedName>
    <definedName name="msname2">'283'!$E$38</definedName>
    <definedName name="msname3">'283'!$F$38</definedName>
    <definedName name="msname4">'283'!$G$38</definedName>
    <definedName name="netinc">'283'!$J$86</definedName>
    <definedName name="PenBal1">GL!$AR$374</definedName>
    <definedName name="PenBal2">GL!$AS$374</definedName>
    <definedName name="PenBal3">GL!$AT$374</definedName>
    <definedName name="PenBal4">GL!$AU$374</definedName>
    <definedName name="PensionBals">GL!$BQ$4:$BV$368</definedName>
    <definedName name="PerPortion">GL!$DA$4:$DE$12</definedName>
    <definedName name="PerStBal">'283'!$K$258:$P$263</definedName>
    <definedName name="_xlnm.Print_Area" localSheetId="0">'283'!$A$1:$J$475</definedName>
    <definedName name="res">'283'!$H$52</definedName>
    <definedName name="Run_Pens_Bal">GL!$BQ$4:$BV$369</definedName>
    <definedName name="seg_choice">'283'!$I$229</definedName>
    <definedName name="seg_eligible">'283'!$I$223</definedName>
    <definedName name="St_Amounts">'283'!$K$257</definedName>
    <definedName name="start_year">'283'!$L$44</definedName>
    <definedName name="StPeriods">GL!$CE$3</definedName>
    <definedName name="theYear">'283'!$K$45</definedName>
    <definedName name="TotMem">'283'!$K$268</definedName>
    <definedName name="TotMemBal">GL!$AQ$375</definedName>
    <definedName name="TotPen">'283'!$K$267</definedName>
    <definedName name="TotPenBal">GL!$AQ$374</definedName>
    <definedName name="transtypes">'283'!$B$108:$B$111</definedName>
    <definedName name="txtenddate">'283'!$M$45</definedName>
    <definedName name="txtstdate">'283'!$L$45</definedName>
    <definedName name="upend">GL!$BY$3</definedName>
    <definedName name="upstart">GL!$BX$3</definedName>
    <definedName name="UseSeg">GL!$BM$1</definedName>
    <definedName name="windupdate">'283'!$F$46</definedName>
    <definedName name="YearEnd" localSheetId="1">GL!$H$107</definedName>
    <definedName name="YearStart" localSheetId="1">GL!$H$106</definedName>
    <definedName name="yrend">'283'!$M$44</definedName>
    <definedName name="yrstart">'283'!$K$44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9" i="9" l="1"/>
  <c r="B84" i="8" l="1"/>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I84" i="8"/>
  <c r="I83" i="8"/>
  <c r="I82" i="8"/>
  <c r="I81" i="8"/>
  <c r="I80" i="8"/>
  <c r="I79" i="8"/>
  <c r="I78" i="8"/>
  <c r="I77" i="8"/>
  <c r="I76" i="8"/>
  <c r="I75" i="8"/>
  <c r="I74" i="8"/>
  <c r="I73" i="8"/>
  <c r="I72" i="8"/>
  <c r="I71" i="8"/>
  <c r="I70" i="8"/>
  <c r="I69" i="8"/>
  <c r="I68" i="8"/>
  <c r="I67" i="8"/>
  <c r="I66" i="8"/>
  <c r="I65" i="8"/>
  <c r="I64" i="8"/>
  <c r="I63" i="8"/>
  <c r="I62" i="8"/>
  <c r="I61" i="8"/>
  <c r="I60" i="8"/>
  <c r="I59" i="8"/>
  <c r="I58" i="8"/>
  <c r="I57" i="8"/>
  <c r="I56" i="8"/>
  <c r="I55" i="8"/>
  <c r="I54" i="8"/>
  <c r="I53" i="8"/>
  <c r="I52" i="8"/>
  <c r="I51" i="8"/>
  <c r="I50" i="8"/>
  <c r="I49" i="8"/>
  <c r="I48" i="8"/>
  <c r="I47" i="8"/>
  <c r="I46" i="8"/>
  <c r="I45" i="8"/>
  <c r="I44" i="8"/>
  <c r="I43" i="8"/>
  <c r="I42" i="8"/>
  <c r="I41" i="8"/>
  <c r="I40" i="8"/>
  <c r="I39" i="8"/>
  <c r="I38" i="8"/>
  <c r="I37" i="8"/>
  <c r="I36" i="8"/>
  <c r="I35" i="8"/>
  <c r="I34" i="8"/>
  <c r="I33" i="8"/>
  <c r="I32" i="8"/>
  <c r="I31" i="8"/>
  <c r="I30" i="8"/>
  <c r="I29" i="8"/>
  <c r="I28" i="8"/>
  <c r="I27" i="8"/>
  <c r="I26" i="8"/>
  <c r="I25" i="8"/>
  <c r="I24" i="8"/>
  <c r="I23" i="8"/>
  <c r="I22" i="8"/>
  <c r="I21" i="8"/>
  <c r="I20" i="8"/>
  <c r="I19" i="8"/>
  <c r="I18" i="8"/>
  <c r="I17" i="8"/>
  <c r="I16" i="8"/>
  <c r="I15" i="8"/>
  <c r="I14" i="8"/>
  <c r="I13" i="8"/>
  <c r="I12" i="8"/>
  <c r="I11" i="8"/>
  <c r="I10" i="8"/>
  <c r="I9" i="8"/>
  <c r="I8" i="8"/>
  <c r="I7" i="8"/>
  <c r="I6" i="8"/>
  <c r="I5" i="8"/>
  <c r="C308" i="9"/>
  <c r="B94" i="8" l="1"/>
  <c r="B93" i="8"/>
  <c r="B92" i="8"/>
  <c r="B91" i="8"/>
  <c r="B90" i="8"/>
  <c r="B89" i="8"/>
  <c r="B88" i="8"/>
  <c r="B87" i="8"/>
  <c r="B86" i="8"/>
  <c r="B85" i="8"/>
  <c r="I94" i="8"/>
  <c r="I93" i="8"/>
  <c r="I92" i="8"/>
  <c r="I91" i="8"/>
  <c r="I90" i="8"/>
  <c r="I89" i="8"/>
  <c r="I88" i="8"/>
  <c r="I87" i="8"/>
  <c r="I86" i="8"/>
  <c r="I85" i="8"/>
  <c r="P94" i="8" l="1"/>
  <c r="P93" i="8"/>
  <c r="P92" i="8"/>
  <c r="P91" i="8"/>
  <c r="P90" i="8"/>
  <c r="P89" i="8"/>
  <c r="P88" i="8"/>
  <c r="P87" i="8"/>
  <c r="P86" i="8"/>
  <c r="P85" i="8"/>
  <c r="H94" i="8"/>
  <c r="H93" i="8"/>
  <c r="N93" i="8" s="1"/>
  <c r="H92" i="8"/>
  <c r="H91" i="8"/>
  <c r="O91" i="8" s="1"/>
  <c r="H90" i="8"/>
  <c r="O90" i="8" s="1"/>
  <c r="H89" i="8"/>
  <c r="L89" i="8" s="1"/>
  <c r="H88" i="8"/>
  <c r="H87" i="8"/>
  <c r="H86" i="8"/>
  <c r="H85" i="8"/>
  <c r="N85" i="8" s="1"/>
  <c r="N88" i="8" l="1"/>
  <c r="M89" i="8"/>
  <c r="K91" i="8"/>
  <c r="L91" i="8"/>
  <c r="K86" i="8"/>
  <c r="N94" i="8"/>
  <c r="O92" i="8"/>
  <c r="M91" i="8"/>
  <c r="N87" i="8"/>
  <c r="L85" i="8"/>
  <c r="L93" i="8"/>
  <c r="N91" i="8"/>
  <c r="M92" i="8"/>
  <c r="O87" i="8"/>
  <c r="N92" i="8"/>
  <c r="L88" i="8"/>
  <c r="K93" i="8"/>
  <c r="D86" i="8"/>
  <c r="G86" i="8"/>
  <c r="F86" i="8"/>
  <c r="E86" i="8"/>
  <c r="D87" i="8"/>
  <c r="G87" i="8"/>
  <c r="E87" i="8"/>
  <c r="F87" i="8"/>
  <c r="L86" i="8"/>
  <c r="E89" i="8"/>
  <c r="D89" i="8"/>
  <c r="G89" i="8"/>
  <c r="F89" i="8"/>
  <c r="G90" i="8"/>
  <c r="F90" i="8"/>
  <c r="E90" i="8"/>
  <c r="D90" i="8"/>
  <c r="O86" i="8"/>
  <c r="M85" i="8"/>
  <c r="K87" i="8"/>
  <c r="L90" i="8"/>
  <c r="M93" i="8"/>
  <c r="F88" i="8"/>
  <c r="D88" i="8"/>
  <c r="G88" i="8"/>
  <c r="E88" i="8"/>
  <c r="M86" i="8"/>
  <c r="N89" i="8"/>
  <c r="N86" i="8"/>
  <c r="M88" i="8"/>
  <c r="G92" i="8"/>
  <c r="F92" i="8"/>
  <c r="D92" i="8"/>
  <c r="E92" i="8"/>
  <c r="L87" i="8"/>
  <c r="O88" i="8"/>
  <c r="M90" i="8"/>
  <c r="K92" i="8"/>
  <c r="K88" i="8"/>
  <c r="O89" i="8"/>
  <c r="K90" i="8"/>
  <c r="E91" i="8"/>
  <c r="D91" i="8"/>
  <c r="G91" i="8"/>
  <c r="F91" i="8"/>
  <c r="G85" i="8"/>
  <c r="F85" i="8"/>
  <c r="E85" i="8"/>
  <c r="G93" i="8"/>
  <c r="D93" i="8"/>
  <c r="F93" i="8"/>
  <c r="E93" i="8"/>
  <c r="O85" i="8"/>
  <c r="M87" i="8"/>
  <c r="K89" i="8"/>
  <c r="N90" i="8"/>
  <c r="L92" i="8"/>
  <c r="O93" i="8"/>
  <c r="K94" i="8"/>
  <c r="L94" i="8"/>
  <c r="M94" i="8"/>
  <c r="G94" i="8"/>
  <c r="F94" i="8"/>
  <c r="E94" i="8"/>
  <c r="D94" i="8"/>
  <c r="O94" i="8"/>
  <c r="H37" i="9"/>
  <c r="G336" i="9"/>
  <c r="F336" i="9"/>
  <c r="E336" i="9"/>
  <c r="D336" i="9"/>
  <c r="T71" i="9" l="1"/>
  <c r="S71" i="9"/>
  <c r="R71" i="9"/>
  <c r="P71" i="9"/>
  <c r="N71" i="9"/>
  <c r="M71" i="9"/>
  <c r="L71" i="9"/>
  <c r="U71" i="9" s="1"/>
  <c r="T70" i="9"/>
  <c r="S70" i="9"/>
  <c r="R70" i="9"/>
  <c r="P70" i="9"/>
  <c r="N70" i="9"/>
  <c r="M70" i="9"/>
  <c r="L70" i="9"/>
  <c r="U70" i="9" s="1"/>
  <c r="T69" i="9"/>
  <c r="S69" i="9"/>
  <c r="R69" i="9"/>
  <c r="P69" i="9"/>
  <c r="N69" i="9"/>
  <c r="M69" i="9"/>
  <c r="L69" i="9"/>
  <c r="U69" i="9" s="1"/>
  <c r="T68" i="9"/>
  <c r="S68" i="9"/>
  <c r="R68" i="9"/>
  <c r="P68" i="9"/>
  <c r="N68" i="9"/>
  <c r="M68" i="9"/>
  <c r="L68" i="9"/>
  <c r="U68" i="9" s="1"/>
  <c r="T67" i="9"/>
  <c r="S67" i="9"/>
  <c r="R67" i="9"/>
  <c r="P67" i="9"/>
  <c r="N67" i="9"/>
  <c r="M67" i="9"/>
  <c r="L67" i="9"/>
  <c r="U67" i="9" s="1"/>
  <c r="T66" i="9"/>
  <c r="S66" i="9"/>
  <c r="R66" i="9"/>
  <c r="P66" i="9"/>
  <c r="N66" i="9"/>
  <c r="M66" i="9"/>
  <c r="L66" i="9"/>
  <c r="U66" i="9" s="1"/>
  <c r="T65" i="9"/>
  <c r="S65" i="9"/>
  <c r="R65" i="9"/>
  <c r="P65" i="9"/>
  <c r="N65" i="9"/>
  <c r="M65" i="9"/>
  <c r="L65" i="9"/>
  <c r="U65" i="9" s="1"/>
  <c r="T64" i="9"/>
  <c r="S64" i="9"/>
  <c r="R64" i="9"/>
  <c r="P64" i="9"/>
  <c r="N64" i="9"/>
  <c r="M64" i="9"/>
  <c r="L64" i="9"/>
  <c r="U64" i="9" s="1"/>
  <c r="T63" i="9"/>
  <c r="S63" i="9"/>
  <c r="R63" i="9"/>
  <c r="P63" i="9"/>
  <c r="N63" i="9"/>
  <c r="M63" i="9"/>
  <c r="L63" i="9"/>
  <c r="U63" i="9" s="1"/>
  <c r="T62" i="9"/>
  <c r="S62" i="9"/>
  <c r="R62" i="9"/>
  <c r="P62" i="9"/>
  <c r="N62" i="9"/>
  <c r="M62" i="9"/>
  <c r="L62" i="9"/>
  <c r="U62" i="9" s="1"/>
  <c r="K64" i="9" l="1"/>
  <c r="K70" i="9"/>
  <c r="K65" i="9"/>
  <c r="K68" i="9"/>
  <c r="K62" i="9"/>
  <c r="K67" i="9"/>
  <c r="K66" i="9"/>
  <c r="K69" i="9"/>
  <c r="K63" i="9"/>
  <c r="K71" i="9"/>
  <c r="I129" i="9"/>
  <c r="I128" i="9"/>
  <c r="I127" i="9"/>
  <c r="I126" i="9"/>
  <c r="I124" i="9"/>
  <c r="I123" i="9"/>
  <c r="I122" i="9"/>
  <c r="I121" i="9"/>
  <c r="CO2" i="8" l="1"/>
  <c r="K253" i="9"/>
  <c r="K251" i="9"/>
  <c r="G257" i="9"/>
  <c r="G256" i="9"/>
  <c r="F257" i="9"/>
  <c r="F256" i="9"/>
  <c r="E257" i="9"/>
  <c r="E256" i="9"/>
  <c r="D257" i="9"/>
  <c r="D256" i="9"/>
  <c r="B255" i="9"/>
  <c r="E55" i="8"/>
  <c r="D56" i="8"/>
  <c r="D57" i="8"/>
  <c r="G58" i="8"/>
  <c r="E60" i="8"/>
  <c r="G63" i="8"/>
  <c r="G64" i="8"/>
  <c r="E65" i="8"/>
  <c r="D66" i="8"/>
  <c r="G67" i="8"/>
  <c r="D69" i="8"/>
  <c r="E71" i="8"/>
  <c r="G72" i="8"/>
  <c r="F73" i="8"/>
  <c r="E74" i="8"/>
  <c r="D76" i="8"/>
  <c r="F79" i="8"/>
  <c r="D80" i="8"/>
  <c r="F81" i="8"/>
  <c r="F82" i="8"/>
  <c r="E84" i="8"/>
  <c r="C442" i="9"/>
  <c r="E23" i="9"/>
  <c r="D23" i="9"/>
  <c r="J23" i="9"/>
  <c r="H23" i="9"/>
  <c r="I23" i="9"/>
  <c r="C295" i="9"/>
  <c r="K295" i="9" s="1"/>
  <c r="G46" i="9"/>
  <c r="C304" i="9"/>
  <c r="K304" i="9" s="1"/>
  <c r="C301" i="9"/>
  <c r="K301" i="9" s="1"/>
  <c r="C299" i="9"/>
  <c r="K299" i="9" s="1"/>
  <c r="C298" i="9"/>
  <c r="K298" i="9" s="1"/>
  <c r="C294" i="9"/>
  <c r="K294" i="9" s="1"/>
  <c r="C293" i="9"/>
  <c r="K293" i="9" s="1"/>
  <c r="C288" i="9"/>
  <c r="K288" i="9" s="1"/>
  <c r="C289" i="9"/>
  <c r="K289" i="9" s="1"/>
  <c r="C290" i="9"/>
  <c r="K290" i="9" s="1"/>
  <c r="C192" i="9"/>
  <c r="B192" i="9"/>
  <c r="L251" i="8"/>
  <c r="K251" i="8"/>
  <c r="J251" i="8"/>
  <c r="L250" i="8"/>
  <c r="K250" i="8"/>
  <c r="J250" i="8"/>
  <c r="I250" i="8"/>
  <c r="L249" i="8"/>
  <c r="K249" i="8"/>
  <c r="J249" i="8"/>
  <c r="I249" i="8"/>
  <c r="L248" i="8"/>
  <c r="K248" i="8"/>
  <c r="I248" i="8"/>
  <c r="L247" i="8"/>
  <c r="K247" i="8"/>
  <c r="J247" i="8"/>
  <c r="I247" i="8"/>
  <c r="L246" i="8"/>
  <c r="K246" i="8"/>
  <c r="J246" i="8"/>
  <c r="I246" i="8"/>
  <c r="L245" i="8"/>
  <c r="K245" i="8"/>
  <c r="L244" i="8"/>
  <c r="K244" i="8"/>
  <c r="L243" i="8"/>
  <c r="K243" i="8"/>
  <c r="J243" i="8"/>
  <c r="K233" i="8"/>
  <c r="L233" i="8"/>
  <c r="K234" i="8"/>
  <c r="L234" i="8"/>
  <c r="K235" i="8"/>
  <c r="L235" i="8"/>
  <c r="L236" i="8"/>
  <c r="I237" i="8"/>
  <c r="J237" i="8"/>
  <c r="L237" i="8"/>
  <c r="I238" i="8"/>
  <c r="J238" i="8"/>
  <c r="K238" i="8"/>
  <c r="L238" i="8"/>
  <c r="I239" i="8"/>
  <c r="J239" i="8"/>
  <c r="K239" i="8"/>
  <c r="L239" i="8"/>
  <c r="I240" i="8"/>
  <c r="J240" i="8"/>
  <c r="K240" i="8"/>
  <c r="L240" i="8"/>
  <c r="I241" i="8"/>
  <c r="J241" i="8"/>
  <c r="K241" i="8"/>
  <c r="L241" i="8"/>
  <c r="F233" i="8"/>
  <c r="F234" i="8"/>
  <c r="F235" i="8"/>
  <c r="F236" i="8"/>
  <c r="F237" i="8"/>
  <c r="F238" i="8"/>
  <c r="F239" i="8"/>
  <c r="F240" i="8"/>
  <c r="F241" i="8"/>
  <c r="E233" i="8"/>
  <c r="E234" i="8"/>
  <c r="E235" i="8"/>
  <c r="E236" i="8"/>
  <c r="E237" i="8"/>
  <c r="E238" i="8"/>
  <c r="E239" i="8"/>
  <c r="E240" i="8"/>
  <c r="E241" i="8"/>
  <c r="C236" i="8"/>
  <c r="C237" i="8"/>
  <c r="C238" i="8"/>
  <c r="C239" i="8"/>
  <c r="C240" i="8"/>
  <c r="A86" i="8"/>
  <c r="A87" i="8"/>
  <c r="A88" i="8"/>
  <c r="A89" i="8"/>
  <c r="A90" i="8"/>
  <c r="A91" i="8"/>
  <c r="A92" i="8"/>
  <c r="A93" i="8"/>
  <c r="A94" i="8"/>
  <c r="A85" i="8"/>
  <c r="D95" i="8"/>
  <c r="F251" i="8"/>
  <c r="E251" i="8"/>
  <c r="D251" i="8"/>
  <c r="C251" i="8"/>
  <c r="F250" i="8"/>
  <c r="E250" i="8"/>
  <c r="D250" i="8"/>
  <c r="C250" i="8"/>
  <c r="F249" i="8"/>
  <c r="E249" i="8"/>
  <c r="D249" i="8"/>
  <c r="C249" i="8"/>
  <c r="F248" i="8"/>
  <c r="E248" i="8"/>
  <c r="D248" i="8"/>
  <c r="C248" i="8"/>
  <c r="F247" i="8"/>
  <c r="D247" i="8"/>
  <c r="F246" i="8"/>
  <c r="D246" i="8"/>
  <c r="F245" i="8"/>
  <c r="E245" i="8"/>
  <c r="F244" i="8"/>
  <c r="E244" i="8"/>
  <c r="D244" i="8"/>
  <c r="F243" i="8"/>
  <c r="E243" i="8"/>
  <c r="F242" i="8"/>
  <c r="E242" i="8"/>
  <c r="D241" i="8"/>
  <c r="D240" i="8"/>
  <c r="D239" i="8"/>
  <c r="D233" i="8"/>
  <c r="I104" i="8"/>
  <c r="J94" i="8"/>
  <c r="I251" i="8"/>
  <c r="C94" i="8"/>
  <c r="C241" i="8"/>
  <c r="J93" i="8"/>
  <c r="C93" i="8"/>
  <c r="J92" i="8"/>
  <c r="D322" i="8"/>
  <c r="C92" i="8"/>
  <c r="J91" i="8"/>
  <c r="J248" i="8"/>
  <c r="C91" i="8"/>
  <c r="J90" i="8"/>
  <c r="C90" i="8"/>
  <c r="J89" i="8"/>
  <c r="I236" i="8"/>
  <c r="C89" i="8"/>
  <c r="C246" i="8"/>
  <c r="K318" i="8"/>
  <c r="J88" i="8"/>
  <c r="J245" i="8"/>
  <c r="C88" i="8"/>
  <c r="C235" i="8"/>
  <c r="G317" i="8"/>
  <c r="J87" i="8"/>
  <c r="I244" i="8"/>
  <c r="J244" i="8"/>
  <c r="J234" i="8"/>
  <c r="I103" i="8"/>
  <c r="C87" i="8"/>
  <c r="D234" i="8"/>
  <c r="J86" i="8"/>
  <c r="I243" i="8" s="1"/>
  <c r="J233" i="8"/>
  <c r="I233" i="8"/>
  <c r="I102" i="8"/>
  <c r="C86" i="8"/>
  <c r="C233" i="8" s="1"/>
  <c r="J85" i="8"/>
  <c r="K232" i="8"/>
  <c r="C85" i="8"/>
  <c r="C242" i="8"/>
  <c r="D242" i="8"/>
  <c r="D53" i="8"/>
  <c r="D52" i="8"/>
  <c r="C51" i="8"/>
  <c r="E50" i="8"/>
  <c r="F49" i="8"/>
  <c r="D48" i="8"/>
  <c r="E47" i="8"/>
  <c r="C46" i="8"/>
  <c r="F45" i="8"/>
  <c r="D44" i="8"/>
  <c r="F43" i="8"/>
  <c r="E41" i="8"/>
  <c r="D39" i="8"/>
  <c r="C37" i="8"/>
  <c r="G35" i="8"/>
  <c r="G33" i="8"/>
  <c r="C32" i="8"/>
  <c r="C31" i="8"/>
  <c r="BB31" i="8" s="1"/>
  <c r="D29" i="8"/>
  <c r="D28" i="8"/>
  <c r="E27" i="8"/>
  <c r="E26" i="8"/>
  <c r="F25" i="8"/>
  <c r="D24" i="8"/>
  <c r="G23" i="8"/>
  <c r="E22" i="8"/>
  <c r="E20" i="8"/>
  <c r="F19" i="8"/>
  <c r="F18" i="8"/>
  <c r="E17" i="8"/>
  <c r="E16" i="8"/>
  <c r="E15" i="8"/>
  <c r="C14" i="8"/>
  <c r="C13" i="8"/>
  <c r="G11" i="8"/>
  <c r="C10" i="8"/>
  <c r="F9" i="8"/>
  <c r="F8" i="8"/>
  <c r="F7" i="8"/>
  <c r="G6" i="8"/>
  <c r="F5" i="8"/>
  <c r="G335" i="9"/>
  <c r="F335" i="9"/>
  <c r="E335" i="9"/>
  <c r="D335" i="9"/>
  <c r="G333" i="9"/>
  <c r="F333" i="9"/>
  <c r="E333" i="9"/>
  <c r="D333" i="9"/>
  <c r="G332" i="9"/>
  <c r="F332" i="9"/>
  <c r="E332" i="9"/>
  <c r="D332" i="9"/>
  <c r="G330" i="9"/>
  <c r="F330" i="9"/>
  <c r="E330" i="9"/>
  <c r="D330" i="9"/>
  <c r="G329" i="9"/>
  <c r="F329" i="9"/>
  <c r="E329" i="9"/>
  <c r="D329" i="9"/>
  <c r="G328" i="9"/>
  <c r="F328" i="9"/>
  <c r="E328" i="9"/>
  <c r="D328" i="9"/>
  <c r="K308" i="9"/>
  <c r="C307" i="9"/>
  <c r="K307" i="9" s="1"/>
  <c r="F305" i="9"/>
  <c r="N305" i="9" s="1"/>
  <c r="E305" i="9"/>
  <c r="M305" i="9" s="1"/>
  <c r="D305" i="9"/>
  <c r="L305" i="9" s="1"/>
  <c r="C305" i="9"/>
  <c r="K305" i="9" s="1"/>
  <c r="C300" i="9"/>
  <c r="K300" i="9" s="1"/>
  <c r="C292" i="9"/>
  <c r="K292" i="9" s="1"/>
  <c r="C291" i="9"/>
  <c r="K291" i="9" s="1"/>
  <c r="G106" i="9"/>
  <c r="F106" i="9"/>
  <c r="E106" i="9"/>
  <c r="D106" i="9"/>
  <c r="H88" i="9"/>
  <c r="H87" i="9"/>
  <c r="H86" i="9"/>
  <c r="G85" i="9"/>
  <c r="F85" i="9"/>
  <c r="E85" i="9"/>
  <c r="D85" i="9"/>
  <c r="H57" i="9"/>
  <c r="G57" i="9"/>
  <c r="F304" i="9" s="1"/>
  <c r="N304" i="9" s="1"/>
  <c r="F57" i="9"/>
  <c r="E304" i="9" s="1"/>
  <c r="M304" i="9" s="1"/>
  <c r="E57" i="9"/>
  <c r="D57" i="9"/>
  <c r="G55" i="9"/>
  <c r="F55" i="9"/>
  <c r="E55" i="9"/>
  <c r="D55" i="9"/>
  <c r="G51" i="9"/>
  <c r="F51" i="9"/>
  <c r="E51" i="9"/>
  <c r="D51" i="9"/>
  <c r="E46" i="9"/>
  <c r="E45" i="9"/>
  <c r="K44" i="9"/>
  <c r="C95" i="8" s="1"/>
  <c r="K29" i="9"/>
  <c r="K28" i="9"/>
  <c r="O95" i="8"/>
  <c r="N95" i="8"/>
  <c r="L231" i="8" s="1"/>
  <c r="M95" i="8"/>
  <c r="K231" i="8" s="1"/>
  <c r="L95" i="8"/>
  <c r="J231" i="8" s="1"/>
  <c r="K95" i="8"/>
  <c r="G95" i="8"/>
  <c r="F231" i="8" s="1"/>
  <c r="F95" i="8"/>
  <c r="E231" i="8" s="1"/>
  <c r="E95" i="8"/>
  <c r="D243" i="8"/>
  <c r="K242" i="8"/>
  <c r="L242" i="8"/>
  <c r="J232" i="8"/>
  <c r="F232" i="8"/>
  <c r="L232" i="8"/>
  <c r="E232" i="8"/>
  <c r="I234" i="8"/>
  <c r="C245" i="8"/>
  <c r="C244" i="8"/>
  <c r="C243" i="8"/>
  <c r="I235" i="8"/>
  <c r="D238" i="8"/>
  <c r="J236" i="8"/>
  <c r="C247" i="8"/>
  <c r="D237" i="8"/>
  <c r="F60" i="8"/>
  <c r="G62" i="8"/>
  <c r="D77" i="8"/>
  <c r="E62" i="8"/>
  <c r="D6" i="8"/>
  <c r="J62" i="8"/>
  <c r="M171" i="8" s="1"/>
  <c r="D68" i="8"/>
  <c r="J68" i="8"/>
  <c r="J54" i="8"/>
  <c r="M163" i="8" s="1"/>
  <c r="J84" i="8"/>
  <c r="BD54" i="8" s="1"/>
  <c r="E38" i="8"/>
  <c r="G76" i="8"/>
  <c r="F76" i="8"/>
  <c r="K237" i="8"/>
  <c r="E247" i="8"/>
  <c r="K236" i="8"/>
  <c r="E246" i="8"/>
  <c r="J235" i="8"/>
  <c r="D245" i="8"/>
  <c r="J16" i="8"/>
  <c r="BE16" i="8" s="1"/>
  <c r="G42" i="8"/>
  <c r="F50" i="8"/>
  <c r="E46" i="8"/>
  <c r="D46" i="8"/>
  <c r="G46" i="8"/>
  <c r="F46" i="8"/>
  <c r="J32" i="8"/>
  <c r="BG32" i="8" s="1"/>
  <c r="J59" i="8"/>
  <c r="M168" i="8" s="1"/>
  <c r="E34" i="8"/>
  <c r="F38" i="8"/>
  <c r="D38" i="8"/>
  <c r="C38" i="8"/>
  <c r="G38" i="8"/>
  <c r="J44" i="8"/>
  <c r="J82" i="8"/>
  <c r="F70" i="8"/>
  <c r="D70" i="8"/>
  <c r="E70" i="8"/>
  <c r="J77" i="8"/>
  <c r="J61" i="8"/>
  <c r="C61" i="8"/>
  <c r="E61" i="8"/>
  <c r="G61" i="8"/>
  <c r="F61" i="8"/>
  <c r="D61" i="8"/>
  <c r="E78" i="8"/>
  <c r="F59" i="8"/>
  <c r="D59" i="8"/>
  <c r="E59" i="8"/>
  <c r="C59" i="8"/>
  <c r="G59" i="8"/>
  <c r="J58" i="8"/>
  <c r="M167" i="8" s="1"/>
  <c r="J36" i="8"/>
  <c r="M145" i="8" s="1"/>
  <c r="D34" i="8"/>
  <c r="G34" i="8"/>
  <c r="F34" i="8"/>
  <c r="C34" i="8"/>
  <c r="C54" i="8"/>
  <c r="D54" i="8"/>
  <c r="G75" i="8"/>
  <c r="D75" i="8"/>
  <c r="C232" i="8"/>
  <c r="D67" i="8"/>
  <c r="F67" i="8"/>
  <c r="I232" i="8"/>
  <c r="C67" i="8"/>
  <c r="E67" i="8"/>
  <c r="C60" i="8"/>
  <c r="D60" i="8"/>
  <c r="J83" i="8"/>
  <c r="M192" i="8" s="1"/>
  <c r="C234" i="8"/>
  <c r="D236" i="8"/>
  <c r="G60" i="8"/>
  <c r="I215" i="8"/>
  <c r="D235" i="8"/>
  <c r="O319" i="8"/>
  <c r="I245" i="8"/>
  <c r="D58" i="8"/>
  <c r="J41" i="8"/>
  <c r="BF41" i="8" s="1"/>
  <c r="J24" i="8"/>
  <c r="M133" i="8" s="1"/>
  <c r="C84" i="8"/>
  <c r="BC54" i="8" s="1"/>
  <c r="D84" i="8"/>
  <c r="E83" i="8"/>
  <c r="G83" i="8"/>
  <c r="F83" i="8"/>
  <c r="C83" i="8"/>
  <c r="D83" i="8"/>
  <c r="C75" i="8"/>
  <c r="F75" i="8"/>
  <c r="E75" i="8"/>
  <c r="L321" i="8"/>
  <c r="J69" i="8"/>
  <c r="M178" i="8" s="1"/>
  <c r="N319" i="8"/>
  <c r="J215" i="8"/>
  <c r="D319" i="8"/>
  <c r="D215" i="8"/>
  <c r="G26" i="8"/>
  <c r="F26" i="8"/>
  <c r="E6" i="8"/>
  <c r="J242" i="8" l="1"/>
  <c r="G331" i="9"/>
  <c r="J81" i="8"/>
  <c r="M190" i="8" s="1"/>
  <c r="N81" i="8"/>
  <c r="M81" i="8"/>
  <c r="L81" i="8"/>
  <c r="K81" i="8"/>
  <c r="J73" i="8"/>
  <c r="N73" i="8"/>
  <c r="M73" i="8"/>
  <c r="L73" i="8"/>
  <c r="K73" i="8"/>
  <c r="N65" i="8"/>
  <c r="M65" i="8"/>
  <c r="L65" i="8"/>
  <c r="K65" i="8"/>
  <c r="N57" i="8"/>
  <c r="M57" i="8"/>
  <c r="L57" i="8"/>
  <c r="K57" i="8"/>
  <c r="N7" i="8"/>
  <c r="M7" i="8"/>
  <c r="L7" i="8"/>
  <c r="K7" i="8"/>
  <c r="N11" i="8"/>
  <c r="M11" i="8"/>
  <c r="L11" i="8"/>
  <c r="K11" i="8"/>
  <c r="N15" i="8"/>
  <c r="M15" i="8"/>
  <c r="L15" i="8"/>
  <c r="K15" i="8"/>
  <c r="N19" i="8"/>
  <c r="M19" i="8"/>
  <c r="L19" i="8"/>
  <c r="K19" i="8"/>
  <c r="N23" i="8"/>
  <c r="M23" i="8"/>
  <c r="L23" i="8"/>
  <c r="K23" i="8"/>
  <c r="N27" i="8"/>
  <c r="M27" i="8"/>
  <c r="L27" i="8"/>
  <c r="K27" i="8"/>
  <c r="N31" i="8"/>
  <c r="M31" i="8"/>
  <c r="L31" i="8"/>
  <c r="K31" i="8"/>
  <c r="J35" i="8"/>
  <c r="M144" i="8" s="1"/>
  <c r="N35" i="8"/>
  <c r="M35" i="8"/>
  <c r="L35" i="8"/>
  <c r="K35" i="8"/>
  <c r="J39" i="8"/>
  <c r="BF39" i="8" s="1"/>
  <c r="N39" i="8"/>
  <c r="M39" i="8"/>
  <c r="L39" i="8"/>
  <c r="K39" i="8"/>
  <c r="N43" i="8"/>
  <c r="M43" i="8"/>
  <c r="L43" i="8"/>
  <c r="K43" i="8"/>
  <c r="N47" i="8"/>
  <c r="M47" i="8"/>
  <c r="L47" i="8"/>
  <c r="K47" i="8"/>
  <c r="N51" i="8"/>
  <c r="M51" i="8"/>
  <c r="L51" i="8"/>
  <c r="K51" i="8"/>
  <c r="N80" i="8"/>
  <c r="M80" i="8"/>
  <c r="L80" i="8"/>
  <c r="K80" i="8"/>
  <c r="N72" i="8"/>
  <c r="M72" i="8"/>
  <c r="L72" i="8"/>
  <c r="K72" i="8"/>
  <c r="N64" i="8"/>
  <c r="M64" i="8"/>
  <c r="L64" i="8"/>
  <c r="K64" i="8"/>
  <c r="N56" i="8"/>
  <c r="M56" i="8"/>
  <c r="L56" i="8"/>
  <c r="K56" i="8"/>
  <c r="N79" i="8"/>
  <c r="M79" i="8"/>
  <c r="L79" i="8"/>
  <c r="K79" i="8"/>
  <c r="N71" i="8"/>
  <c r="M71" i="8"/>
  <c r="L71" i="8"/>
  <c r="K71" i="8"/>
  <c r="N63" i="8"/>
  <c r="M63" i="8"/>
  <c r="L63" i="8"/>
  <c r="K63" i="8"/>
  <c r="N55" i="8"/>
  <c r="M55" i="8"/>
  <c r="L55" i="8"/>
  <c r="K55" i="8"/>
  <c r="N8" i="8"/>
  <c r="M8" i="8"/>
  <c r="L8" i="8"/>
  <c r="K8" i="8"/>
  <c r="N12" i="8"/>
  <c r="M12" i="8"/>
  <c r="L12" i="8"/>
  <c r="K12" i="8"/>
  <c r="N16" i="8"/>
  <c r="M16" i="8"/>
  <c r="L16" i="8"/>
  <c r="K16" i="8"/>
  <c r="N20" i="8"/>
  <c r="M20" i="8"/>
  <c r="L20" i="8"/>
  <c r="K20" i="8"/>
  <c r="N24" i="8"/>
  <c r="M24" i="8"/>
  <c r="L24" i="8"/>
  <c r="K24" i="8"/>
  <c r="N28" i="8"/>
  <c r="M28" i="8"/>
  <c r="L28" i="8"/>
  <c r="K28" i="8"/>
  <c r="N32" i="8"/>
  <c r="M32" i="8"/>
  <c r="L32" i="8"/>
  <c r="K32" i="8"/>
  <c r="N36" i="8"/>
  <c r="M36" i="8"/>
  <c r="L36" i="8"/>
  <c r="K36" i="8"/>
  <c r="N40" i="8"/>
  <c r="M40" i="8"/>
  <c r="L40" i="8"/>
  <c r="K40" i="8"/>
  <c r="N44" i="8"/>
  <c r="M44" i="8"/>
  <c r="L44" i="8"/>
  <c r="K44" i="8"/>
  <c r="N48" i="8"/>
  <c r="M48" i="8"/>
  <c r="L48" i="8"/>
  <c r="K48" i="8"/>
  <c r="N52" i="8"/>
  <c r="M52" i="8"/>
  <c r="L52" i="8"/>
  <c r="K52" i="8"/>
  <c r="N78" i="8"/>
  <c r="M78" i="8"/>
  <c r="L78" i="8"/>
  <c r="K78" i="8"/>
  <c r="N70" i="8"/>
  <c r="M70" i="8"/>
  <c r="L70" i="8"/>
  <c r="K70" i="8"/>
  <c r="N62" i="8"/>
  <c r="M62" i="8"/>
  <c r="L62" i="8"/>
  <c r="K62" i="8"/>
  <c r="N54" i="8"/>
  <c r="M54" i="8"/>
  <c r="L54" i="8"/>
  <c r="K54" i="8"/>
  <c r="N77" i="8"/>
  <c r="M77" i="8"/>
  <c r="L77" i="8"/>
  <c r="K77" i="8"/>
  <c r="N69" i="8"/>
  <c r="M69" i="8"/>
  <c r="L69" i="8"/>
  <c r="K69" i="8"/>
  <c r="N61" i="8"/>
  <c r="M61" i="8"/>
  <c r="L61" i="8"/>
  <c r="K61" i="8"/>
  <c r="N5" i="8"/>
  <c r="M5" i="8"/>
  <c r="L5" i="8"/>
  <c r="K5" i="8"/>
  <c r="N9" i="8"/>
  <c r="M9" i="8"/>
  <c r="L9" i="8"/>
  <c r="K9" i="8"/>
  <c r="N13" i="8"/>
  <c r="M13" i="8"/>
  <c r="L13" i="8"/>
  <c r="K13" i="8"/>
  <c r="N17" i="8"/>
  <c r="M17" i="8"/>
  <c r="L17" i="8"/>
  <c r="K17" i="8"/>
  <c r="N21" i="8"/>
  <c r="M21" i="8"/>
  <c r="L21" i="8"/>
  <c r="K21" i="8"/>
  <c r="J25" i="8"/>
  <c r="N25" i="8"/>
  <c r="M25" i="8"/>
  <c r="L25" i="8"/>
  <c r="K25" i="8"/>
  <c r="N29" i="8"/>
  <c r="M29" i="8"/>
  <c r="L29" i="8"/>
  <c r="K29" i="8"/>
  <c r="J33" i="8"/>
  <c r="N33" i="8"/>
  <c r="M33" i="8"/>
  <c r="L33" i="8"/>
  <c r="K33" i="8"/>
  <c r="N37" i="8"/>
  <c r="M37" i="8"/>
  <c r="L37" i="8"/>
  <c r="K37" i="8"/>
  <c r="N41" i="8"/>
  <c r="M41" i="8"/>
  <c r="L41" i="8"/>
  <c r="K41" i="8"/>
  <c r="N45" i="8"/>
  <c r="M45" i="8"/>
  <c r="L45" i="8"/>
  <c r="K45" i="8"/>
  <c r="N49" i="8"/>
  <c r="M49" i="8"/>
  <c r="L49" i="8"/>
  <c r="K49" i="8"/>
  <c r="N53" i="8"/>
  <c r="M53" i="8"/>
  <c r="L53" i="8"/>
  <c r="K53" i="8"/>
  <c r="N84" i="8"/>
  <c r="M84" i="8"/>
  <c r="L84" i="8"/>
  <c r="K84" i="8"/>
  <c r="N76" i="8"/>
  <c r="M76" i="8"/>
  <c r="L76" i="8"/>
  <c r="K76" i="8"/>
  <c r="N68" i="8"/>
  <c r="M68" i="8"/>
  <c r="L68" i="8"/>
  <c r="K68" i="8"/>
  <c r="J60" i="8"/>
  <c r="N60" i="8"/>
  <c r="M60" i="8"/>
  <c r="L60" i="8"/>
  <c r="K60" i="8"/>
  <c r="N83" i="8"/>
  <c r="M83" i="8"/>
  <c r="L83" i="8"/>
  <c r="K83" i="8"/>
  <c r="N75" i="8"/>
  <c r="M75" i="8"/>
  <c r="L75" i="8"/>
  <c r="K75" i="8"/>
  <c r="N67" i="8"/>
  <c r="M67" i="8"/>
  <c r="L67" i="8"/>
  <c r="K67" i="8"/>
  <c r="N59" i="8"/>
  <c r="M59" i="8"/>
  <c r="L59" i="8"/>
  <c r="K59" i="8"/>
  <c r="N6" i="8"/>
  <c r="M6" i="8"/>
  <c r="L6" i="8"/>
  <c r="K6" i="8"/>
  <c r="N10" i="8"/>
  <c r="M10" i="8"/>
  <c r="L10" i="8"/>
  <c r="K10" i="8"/>
  <c r="J14" i="8"/>
  <c r="BE14" i="8" s="1"/>
  <c r="N14" i="8"/>
  <c r="M14" i="8"/>
  <c r="L14" i="8"/>
  <c r="K14" i="8"/>
  <c r="J18" i="8"/>
  <c r="N18" i="8"/>
  <c r="M18" i="8"/>
  <c r="L18" i="8"/>
  <c r="K18" i="8"/>
  <c r="N22" i="8"/>
  <c r="M22" i="8"/>
  <c r="L22" i="8"/>
  <c r="K22" i="8"/>
  <c r="N26" i="8"/>
  <c r="M26" i="8"/>
  <c r="L26" i="8"/>
  <c r="K26" i="8"/>
  <c r="N30" i="8"/>
  <c r="M30" i="8"/>
  <c r="L30" i="8"/>
  <c r="K30" i="8"/>
  <c r="N34" i="8"/>
  <c r="M34" i="8"/>
  <c r="L34" i="8"/>
  <c r="K34" i="8"/>
  <c r="N38" i="8"/>
  <c r="M38" i="8"/>
  <c r="L38" i="8"/>
  <c r="K38" i="8"/>
  <c r="N42" i="8"/>
  <c r="M42" i="8"/>
  <c r="L42" i="8"/>
  <c r="K42" i="8"/>
  <c r="N46" i="8"/>
  <c r="M46" i="8"/>
  <c r="L46" i="8"/>
  <c r="K46" i="8"/>
  <c r="N50" i="8"/>
  <c r="M50" i="8"/>
  <c r="L50" i="8"/>
  <c r="K50" i="8"/>
  <c r="N82" i="8"/>
  <c r="M82" i="8"/>
  <c r="L82" i="8"/>
  <c r="K82" i="8"/>
  <c r="N74" i="8"/>
  <c r="M74" i="8"/>
  <c r="L74" i="8"/>
  <c r="K74" i="8"/>
  <c r="N66" i="8"/>
  <c r="M66" i="8"/>
  <c r="L66" i="8"/>
  <c r="K66" i="8"/>
  <c r="N58" i="8"/>
  <c r="M58" i="8"/>
  <c r="L58" i="8"/>
  <c r="K58" i="8"/>
  <c r="K220" i="8"/>
  <c r="J34" i="8"/>
  <c r="L143" i="8" s="1"/>
  <c r="F44" i="8"/>
  <c r="F48" i="8"/>
  <c r="AZ32" i="8"/>
  <c r="C48" i="8"/>
  <c r="BA48" i="8" s="1"/>
  <c r="G74" i="8"/>
  <c r="C82" i="8"/>
  <c r="D82" i="8"/>
  <c r="C74" i="8"/>
  <c r="D183" i="8" s="1"/>
  <c r="J22" i="8"/>
  <c r="BE22" i="8" s="1"/>
  <c r="J42" i="8"/>
  <c r="BD42" i="8" s="1"/>
  <c r="J6" i="8"/>
  <c r="BE6" i="8" s="1"/>
  <c r="E82" i="8"/>
  <c r="J46" i="8"/>
  <c r="BG46" i="8" s="1"/>
  <c r="D74" i="8"/>
  <c r="J26" i="8"/>
  <c r="J135" i="8" s="1"/>
  <c r="G82" i="8"/>
  <c r="L190" i="8"/>
  <c r="I190" i="8"/>
  <c r="F74" i="8"/>
  <c r="J65" i="8"/>
  <c r="M174" i="8" s="1"/>
  <c r="F66" i="8"/>
  <c r="J30" i="8"/>
  <c r="BF30" i="8" s="1"/>
  <c r="F168" i="8"/>
  <c r="C39" i="8"/>
  <c r="D31" i="8"/>
  <c r="C140" i="8" s="1"/>
  <c r="G39" i="8"/>
  <c r="C35" i="8"/>
  <c r="AZ35" i="8" s="1"/>
  <c r="AZ31" i="8"/>
  <c r="F35" i="8"/>
  <c r="F39" i="8"/>
  <c r="F47" i="8"/>
  <c r="E39" i="8"/>
  <c r="C43" i="8"/>
  <c r="D35" i="8"/>
  <c r="E31" i="8"/>
  <c r="C65" i="8"/>
  <c r="D174" i="8" s="1"/>
  <c r="E35" i="8"/>
  <c r="D43" i="8"/>
  <c r="E43" i="8"/>
  <c r="F31" i="8"/>
  <c r="G47" i="8"/>
  <c r="J72" i="8"/>
  <c r="M181" i="8" s="1"/>
  <c r="G31" i="8"/>
  <c r="F140" i="8" s="1"/>
  <c r="G43" i="8"/>
  <c r="J202" i="8"/>
  <c r="E170" i="8"/>
  <c r="C147" i="8"/>
  <c r="F192" i="8"/>
  <c r="BG24" i="8"/>
  <c r="J31" i="8"/>
  <c r="BD31" i="8" s="1"/>
  <c r="G44" i="8"/>
  <c r="D55" i="8"/>
  <c r="C71" i="8"/>
  <c r="E80" i="8"/>
  <c r="J63" i="8"/>
  <c r="J172" i="8" s="1"/>
  <c r="D64" i="8"/>
  <c r="I170" i="8"/>
  <c r="J168" i="8"/>
  <c r="L144" i="8"/>
  <c r="G55" i="8"/>
  <c r="E48" i="8"/>
  <c r="D26" i="8"/>
  <c r="K182" i="8"/>
  <c r="J144" i="8"/>
  <c r="BD22" i="8"/>
  <c r="J55" i="8"/>
  <c r="K164" i="8" s="1"/>
  <c r="C55" i="8"/>
  <c r="D164" i="8" s="1"/>
  <c r="K190" i="8"/>
  <c r="G32" i="8"/>
  <c r="F141" i="8" s="1"/>
  <c r="E32" i="8"/>
  <c r="D141" i="8" s="1"/>
  <c r="J78" i="8"/>
  <c r="F52" i="8"/>
  <c r="G48" i="8"/>
  <c r="E72" i="8"/>
  <c r="I144" i="8"/>
  <c r="E52" i="8"/>
  <c r="D32" i="8"/>
  <c r="C141" i="8" s="1"/>
  <c r="C52" i="8"/>
  <c r="BA52" i="8" s="1"/>
  <c r="F56" i="8"/>
  <c r="F55" i="8"/>
  <c r="F32" i="8"/>
  <c r="M182" i="8"/>
  <c r="J51" i="8"/>
  <c r="C169" i="8"/>
  <c r="E176" i="8"/>
  <c r="G52" i="8"/>
  <c r="I168" i="8"/>
  <c r="J182" i="8"/>
  <c r="C170" i="8"/>
  <c r="C72" i="8"/>
  <c r="F181" i="8" s="1"/>
  <c r="F6" i="8"/>
  <c r="C6" i="8"/>
  <c r="D115" i="8" s="1"/>
  <c r="L316" i="8"/>
  <c r="G315" i="8"/>
  <c r="L123" i="8"/>
  <c r="I242" i="8"/>
  <c r="C17" i="8"/>
  <c r="BA17" i="8" s="1"/>
  <c r="E28" i="8"/>
  <c r="D18" i="8"/>
  <c r="E18" i="8"/>
  <c r="G18" i="8"/>
  <c r="C18" i="8"/>
  <c r="E19" i="8"/>
  <c r="C22" i="8"/>
  <c r="AZ22" i="8" s="1"/>
  <c r="C26" i="8"/>
  <c r="BC26" i="8" s="1"/>
  <c r="F22" i="8"/>
  <c r="G22" i="8"/>
  <c r="D15" i="8"/>
  <c r="D22" i="8"/>
  <c r="G14" i="8"/>
  <c r="BC14" i="8" s="1"/>
  <c r="E24" i="8"/>
  <c r="D11" i="8"/>
  <c r="J17" i="8"/>
  <c r="BE17" i="8" s="1"/>
  <c r="C20" i="8"/>
  <c r="AZ20" i="8" s="1"/>
  <c r="BF25" i="8"/>
  <c r="M134" i="8"/>
  <c r="G29" i="8"/>
  <c r="G65" i="8"/>
  <c r="G9" i="8"/>
  <c r="I150" i="8"/>
  <c r="K193" i="8"/>
  <c r="F65" i="8"/>
  <c r="D5" i="8"/>
  <c r="G322" i="8"/>
  <c r="E37" i="8"/>
  <c r="D146" i="8" s="1"/>
  <c r="E64" i="8"/>
  <c r="L153" i="8"/>
  <c r="E56" i="8"/>
  <c r="D72" i="8"/>
  <c r="T60" i="9"/>
  <c r="M56" i="9" s="1"/>
  <c r="H332" i="9"/>
  <c r="D9" i="8"/>
  <c r="L150" i="8"/>
  <c r="D65" i="8"/>
  <c r="BD25" i="8"/>
  <c r="K170" i="8"/>
  <c r="BE35" i="8"/>
  <c r="J80" i="8"/>
  <c r="C45" i="8"/>
  <c r="BC45" i="8" s="1"/>
  <c r="J167" i="8"/>
  <c r="E5" i="8"/>
  <c r="C53" i="8"/>
  <c r="AZ53" i="8" s="1"/>
  <c r="C64" i="8"/>
  <c r="F173" i="8" s="1"/>
  <c r="I153" i="8"/>
  <c r="BE54" i="8"/>
  <c r="G56" i="8"/>
  <c r="F72" i="8"/>
  <c r="C183" i="8"/>
  <c r="C9" i="8"/>
  <c r="BC9" i="8" s="1"/>
  <c r="G81" i="8"/>
  <c r="G73" i="8"/>
  <c r="C49" i="8"/>
  <c r="E158" i="8" s="1"/>
  <c r="BG35" i="8"/>
  <c r="D45" i="8"/>
  <c r="G5" i="8"/>
  <c r="E53" i="8"/>
  <c r="F64" i="8"/>
  <c r="K153" i="8"/>
  <c r="I134" i="8"/>
  <c r="D331" i="9"/>
  <c r="D334" i="9"/>
  <c r="F144" i="8"/>
  <c r="O324" i="8"/>
  <c r="C25" i="8"/>
  <c r="AZ25" i="8" s="1"/>
  <c r="G37" i="8"/>
  <c r="L171" i="8"/>
  <c r="E45" i="8"/>
  <c r="C5" i="8"/>
  <c r="AZ5" i="8" s="1"/>
  <c r="G53" i="8"/>
  <c r="G41" i="8"/>
  <c r="L134" i="8"/>
  <c r="J29" i="8"/>
  <c r="M138" i="8" s="1"/>
  <c r="E9" i="8"/>
  <c r="E73" i="8"/>
  <c r="C73" i="8"/>
  <c r="E182" i="8" s="1"/>
  <c r="I178" i="8"/>
  <c r="C192" i="8"/>
  <c r="BG25" i="8"/>
  <c r="G45" i="8"/>
  <c r="F53" i="8"/>
  <c r="K191" i="8"/>
  <c r="D41" i="8"/>
  <c r="K134" i="8"/>
  <c r="F41" i="8"/>
  <c r="I200" i="8"/>
  <c r="D73" i="8"/>
  <c r="K178" i="8"/>
  <c r="D184" i="8"/>
  <c r="J150" i="8"/>
  <c r="BE25" i="8"/>
  <c r="K171" i="8"/>
  <c r="BD35" i="8"/>
  <c r="C41" i="8"/>
  <c r="J134" i="8"/>
  <c r="C214" i="8"/>
  <c r="D337" i="9"/>
  <c r="D19" i="8"/>
  <c r="C19" i="8"/>
  <c r="BB19" i="8" s="1"/>
  <c r="G19" i="8"/>
  <c r="L127" i="8"/>
  <c r="J127" i="8"/>
  <c r="I127" i="8"/>
  <c r="J12" i="8"/>
  <c r="BF12" i="8" s="1"/>
  <c r="J8" i="8"/>
  <c r="E331" i="9"/>
  <c r="L115" i="8"/>
  <c r="BF6" i="8"/>
  <c r="BG6" i="8"/>
  <c r="M115" i="8"/>
  <c r="BD6" i="8"/>
  <c r="BG42" i="8"/>
  <c r="J193" i="8"/>
  <c r="K151" i="8"/>
  <c r="L151" i="8"/>
  <c r="J21" i="8"/>
  <c r="BD21" i="8" s="1"/>
  <c r="J170" i="8"/>
  <c r="J174" i="8"/>
  <c r="J197" i="8"/>
  <c r="BG54" i="8"/>
  <c r="D192" i="8"/>
  <c r="O315" i="8"/>
  <c r="BB35" i="8"/>
  <c r="J75" i="8"/>
  <c r="F80" i="8"/>
  <c r="BE42" i="8"/>
  <c r="J27" i="8"/>
  <c r="BF27" i="8" s="1"/>
  <c r="I182" i="8"/>
  <c r="E214" i="8"/>
  <c r="C163" i="8"/>
  <c r="BD16" i="8"/>
  <c r="K168" i="8"/>
  <c r="C69" i="8"/>
  <c r="C178" i="8" s="1"/>
  <c r="F57" i="8"/>
  <c r="F334" i="9"/>
  <c r="C316" i="9"/>
  <c r="K316" i="9" s="1"/>
  <c r="BF16" i="8"/>
  <c r="G50" i="8"/>
  <c r="M170" i="8"/>
  <c r="K125" i="8"/>
  <c r="F69" i="8"/>
  <c r="J49" i="8"/>
  <c r="K142" i="8"/>
  <c r="C50" i="8"/>
  <c r="BC50" i="8" s="1"/>
  <c r="L211" i="8"/>
  <c r="E69" i="8"/>
  <c r="O323" i="8"/>
  <c r="G57" i="8"/>
  <c r="D50" i="8"/>
  <c r="I123" i="8"/>
  <c r="I142" i="8"/>
  <c r="K221" i="8"/>
  <c r="G69" i="8"/>
  <c r="E57" i="8"/>
  <c r="J142" i="8"/>
  <c r="G80" i="8"/>
  <c r="I193" i="8"/>
  <c r="I133" i="8"/>
  <c r="J38" i="8"/>
  <c r="I147" i="8" s="1"/>
  <c r="I101" i="8"/>
  <c r="D168" i="8"/>
  <c r="J125" i="8"/>
  <c r="C57" i="8"/>
  <c r="F331" i="9"/>
  <c r="O318" i="8"/>
  <c r="L142" i="8"/>
  <c r="C80" i="8"/>
  <c r="C189" i="8" s="1"/>
  <c r="L193" i="8"/>
  <c r="C56" i="8"/>
  <c r="C165" i="8" s="1"/>
  <c r="I125" i="8"/>
  <c r="E216" i="8"/>
  <c r="AZ48" i="8"/>
  <c r="C44" i="8"/>
  <c r="BB44" i="8" s="1"/>
  <c r="K133" i="8"/>
  <c r="I229" i="8"/>
  <c r="C202" i="8"/>
  <c r="K219" i="8"/>
  <c r="F219" i="8"/>
  <c r="F323" i="8"/>
  <c r="BF14" i="8"/>
  <c r="L219" i="8"/>
  <c r="E49" i="8"/>
  <c r="G49" i="8"/>
  <c r="J79" i="8"/>
  <c r="M188" i="8" s="1"/>
  <c r="J56" i="8"/>
  <c r="I226" i="8"/>
  <c r="C318" i="9"/>
  <c r="K318" i="9" s="1"/>
  <c r="F84" i="8"/>
  <c r="E193" i="8" s="1"/>
  <c r="M187" i="8"/>
  <c r="K187" i="8"/>
  <c r="BA43" i="8"/>
  <c r="BB43" i="8"/>
  <c r="G84" i="8"/>
  <c r="F193" i="8" s="1"/>
  <c r="J7" i="8"/>
  <c r="BG7" i="8" s="1"/>
  <c r="J11" i="8"/>
  <c r="BG11" i="8" s="1"/>
  <c r="J15" i="8"/>
  <c r="BD15" i="8" s="1"/>
  <c r="D42" i="8"/>
  <c r="F42" i="8"/>
  <c r="E42" i="8"/>
  <c r="C42" i="8"/>
  <c r="BA42" i="8" s="1"/>
  <c r="J45" i="8"/>
  <c r="M154" i="8" s="1"/>
  <c r="C78" i="8"/>
  <c r="D78" i="8"/>
  <c r="G78" i="8"/>
  <c r="F78" i="8"/>
  <c r="D71" i="8"/>
  <c r="F71" i="8"/>
  <c r="G71" i="8"/>
  <c r="E63" i="8"/>
  <c r="F63" i="8"/>
  <c r="D63" i="8"/>
  <c r="C63" i="8"/>
  <c r="J70" i="8"/>
  <c r="M179" i="8" s="1"/>
  <c r="BA39" i="8"/>
  <c r="BB39" i="8"/>
  <c r="F148" i="8"/>
  <c r="BC39" i="8"/>
  <c r="E184" i="8"/>
  <c r="J216" i="8"/>
  <c r="D176" i="8"/>
  <c r="BD24" i="8"/>
  <c r="J133" i="8"/>
  <c r="C143" i="8"/>
  <c r="E322" i="8"/>
  <c r="L228" i="8"/>
  <c r="E228" i="8"/>
  <c r="J218" i="8"/>
  <c r="F77" i="8"/>
  <c r="G77" i="8"/>
  <c r="C77" i="8"/>
  <c r="C186" i="8" s="1"/>
  <c r="E77" i="8"/>
  <c r="G70" i="8"/>
  <c r="C70" i="8"/>
  <c r="C62" i="8"/>
  <c r="D171" i="8" s="1"/>
  <c r="D62" i="8"/>
  <c r="F62" i="8"/>
  <c r="F54" i="8"/>
  <c r="E163" i="8" s="1"/>
  <c r="G54" i="8"/>
  <c r="E54" i="8"/>
  <c r="D163" i="8" s="1"/>
  <c r="F169" i="8"/>
  <c r="E169" i="8"/>
  <c r="E143" i="8"/>
  <c r="D143" i="8"/>
  <c r="BC34" i="8"/>
  <c r="AZ34" i="8"/>
  <c r="J52" i="8"/>
  <c r="M161" i="8" s="1"/>
  <c r="D217" i="8"/>
  <c r="E217" i="8"/>
  <c r="L227" i="8"/>
  <c r="M320" i="8"/>
  <c r="BD34" i="8"/>
  <c r="I143" i="8"/>
  <c r="J143" i="8"/>
  <c r="BF34" i="8"/>
  <c r="BE34" i="8"/>
  <c r="BF26" i="8"/>
  <c r="L192" i="8"/>
  <c r="BG34" i="8"/>
  <c r="BA34" i="8"/>
  <c r="C148" i="8"/>
  <c r="BD14" i="8"/>
  <c r="J20" i="8"/>
  <c r="L133" i="8"/>
  <c r="J28" i="8"/>
  <c r="BD28" i="8" s="1"/>
  <c r="L141" i="8"/>
  <c r="J141" i="8"/>
  <c r="I141" i="8"/>
  <c r="F36" i="8"/>
  <c r="D36" i="8"/>
  <c r="E36" i="8"/>
  <c r="C36" i="8"/>
  <c r="G36" i="8"/>
  <c r="L148" i="8"/>
  <c r="K148" i="8"/>
  <c r="J148" i="8"/>
  <c r="I148" i="8"/>
  <c r="D47" i="8"/>
  <c r="C47" i="8"/>
  <c r="J67" i="8"/>
  <c r="J203" i="8"/>
  <c r="I230" i="8"/>
  <c r="D324" i="8"/>
  <c r="L203" i="8"/>
  <c r="D230" i="8"/>
  <c r="F203" i="8"/>
  <c r="E220" i="8"/>
  <c r="N318" i="8"/>
  <c r="D224" i="8"/>
  <c r="K214" i="8"/>
  <c r="F224" i="8"/>
  <c r="BE41" i="8"/>
  <c r="BD41" i="8"/>
  <c r="K150" i="8"/>
  <c r="BF36" i="8"/>
  <c r="J145" i="8"/>
  <c r="BG14" i="8"/>
  <c r="J57" i="8"/>
  <c r="M166" i="8" s="1"/>
  <c r="D229" i="8"/>
  <c r="M193" i="8"/>
  <c r="BF54" i="8"/>
  <c r="J9" i="8"/>
  <c r="BD9" i="8" s="1"/>
  <c r="F29" i="8"/>
  <c r="C29" i="8"/>
  <c r="AZ29" i="8" s="1"/>
  <c r="E29" i="8"/>
  <c r="D33" i="8"/>
  <c r="E33" i="8"/>
  <c r="F33" i="8"/>
  <c r="C33" i="8"/>
  <c r="BB33" i="8" s="1"/>
  <c r="L145" i="8"/>
  <c r="K145" i="8"/>
  <c r="I145" i="8"/>
  <c r="BE36" i="8"/>
  <c r="BD36" i="8"/>
  <c r="J43" i="8"/>
  <c r="J47" i="8"/>
  <c r="BE47" i="8" s="1"/>
  <c r="L191" i="8"/>
  <c r="J191" i="8"/>
  <c r="J74" i="8"/>
  <c r="D226" i="8"/>
  <c r="L226" i="8"/>
  <c r="O320" i="8"/>
  <c r="J64" i="8"/>
  <c r="M173" i="8" s="1"/>
  <c r="F226" i="8"/>
  <c r="D193" i="8"/>
  <c r="J190" i="8"/>
  <c r="J192" i="8"/>
  <c r="J160" i="8"/>
  <c r="D320" i="8"/>
  <c r="M150" i="8"/>
  <c r="BF24" i="8"/>
  <c r="I192" i="8"/>
  <c r="I151" i="8"/>
  <c r="C176" i="8"/>
  <c r="BB34" i="8"/>
  <c r="D49" i="8"/>
  <c r="H335" i="9"/>
  <c r="C81" i="8"/>
  <c r="E81" i="8"/>
  <c r="D81" i="8"/>
  <c r="C66" i="8"/>
  <c r="E175" i="8" s="1"/>
  <c r="E66" i="8"/>
  <c r="G66" i="8"/>
  <c r="E58" i="8"/>
  <c r="C58" i="8"/>
  <c r="F58" i="8"/>
  <c r="I186" i="8"/>
  <c r="L170" i="8"/>
  <c r="L168" i="8"/>
  <c r="J169" i="8"/>
  <c r="I171" i="8"/>
  <c r="J178" i="8"/>
  <c r="BF35" i="8"/>
  <c r="E168" i="8"/>
  <c r="D170" i="8"/>
  <c r="E337" i="9"/>
  <c r="K192" i="8"/>
  <c r="E223" i="8"/>
  <c r="L178" i="8"/>
  <c r="C144" i="8"/>
  <c r="J184" i="8"/>
  <c r="K169" i="8"/>
  <c r="E192" i="8"/>
  <c r="L182" i="8"/>
  <c r="C184" i="8"/>
  <c r="F143" i="8"/>
  <c r="K167" i="8"/>
  <c r="H329" i="9"/>
  <c r="AZ37" i="8"/>
  <c r="BC37" i="8"/>
  <c r="BA37" i="8"/>
  <c r="F146" i="8"/>
  <c r="BG33" i="8"/>
  <c r="BF33" i="8"/>
  <c r="BE33" i="8"/>
  <c r="M142" i="8"/>
  <c r="BD33" i="8"/>
  <c r="BB46" i="8"/>
  <c r="F155" i="8"/>
  <c r="E155" i="8"/>
  <c r="BA46" i="8"/>
  <c r="C155" i="8"/>
  <c r="BC46" i="8"/>
  <c r="D155" i="8"/>
  <c r="AZ46" i="8"/>
  <c r="M169" i="8"/>
  <c r="L169" i="8"/>
  <c r="BC31" i="8"/>
  <c r="BB54" i="8"/>
  <c r="J163" i="8"/>
  <c r="BE39" i="8"/>
  <c r="J50" i="8"/>
  <c r="K228" i="8"/>
  <c r="D37" i="8"/>
  <c r="C146" i="8" s="1"/>
  <c r="J19" i="8"/>
  <c r="BD19" i="8" s="1"/>
  <c r="I191" i="8"/>
  <c r="C76" i="8"/>
  <c r="F185" i="8" s="1"/>
  <c r="I163" i="8"/>
  <c r="C319" i="9"/>
  <c r="K319" i="9" s="1"/>
  <c r="C320" i="9"/>
  <c r="K320" i="9" s="1"/>
  <c r="D169" i="8"/>
  <c r="BA31" i="8"/>
  <c r="M135" i="8"/>
  <c r="F184" i="8"/>
  <c r="AZ43" i="8"/>
  <c r="M148" i="8"/>
  <c r="K123" i="8"/>
  <c r="O322" i="8"/>
  <c r="F37" i="8"/>
  <c r="E146" i="8" s="1"/>
  <c r="BF22" i="8"/>
  <c r="M131" i="8"/>
  <c r="E76" i="8"/>
  <c r="O321" i="8"/>
  <c r="F176" i="8"/>
  <c r="J171" i="8"/>
  <c r="AZ54" i="8"/>
  <c r="E140" i="8"/>
  <c r="BE26" i="8"/>
  <c r="C193" i="8"/>
  <c r="K144" i="8"/>
  <c r="J186" i="8"/>
  <c r="BD39" i="8"/>
  <c r="C168" i="8"/>
  <c r="AZ39" i="8"/>
  <c r="E147" i="8"/>
  <c r="M123" i="8"/>
  <c r="AZ38" i="8"/>
  <c r="L125" i="8"/>
  <c r="I228" i="8"/>
  <c r="BB37" i="8"/>
  <c r="D152" i="8"/>
  <c r="K143" i="8"/>
  <c r="J40" i="8"/>
  <c r="BD40" i="8" s="1"/>
  <c r="K141" i="8"/>
  <c r="BG22" i="8"/>
  <c r="C315" i="9"/>
  <c r="K315" i="9" s="1"/>
  <c r="K163" i="8"/>
  <c r="BA54" i="8"/>
  <c r="D140" i="8"/>
  <c r="BG39" i="8"/>
  <c r="L167" i="8"/>
  <c r="F170" i="8"/>
  <c r="D147" i="8"/>
  <c r="BA38" i="8"/>
  <c r="BG16" i="8"/>
  <c r="M125" i="8"/>
  <c r="L135" i="8"/>
  <c r="K186" i="8"/>
  <c r="F147" i="8"/>
  <c r="BC43" i="8"/>
  <c r="D231" i="8"/>
  <c r="E152" i="8"/>
  <c r="L163" i="8"/>
  <c r="M143" i="8"/>
  <c r="I167" i="8"/>
  <c r="F163" i="8"/>
  <c r="BB38" i="8"/>
  <c r="M191" i="8"/>
  <c r="L186" i="8"/>
  <c r="E44" i="8"/>
  <c r="C314" i="9"/>
  <c r="K314" i="9" s="1"/>
  <c r="K131" i="8"/>
  <c r="K181" i="8"/>
  <c r="BD26" i="8"/>
  <c r="I169" i="8"/>
  <c r="M186" i="8"/>
  <c r="BC38" i="8"/>
  <c r="F319" i="8"/>
  <c r="G23" i="9"/>
  <c r="G8" i="8"/>
  <c r="D16" i="8"/>
  <c r="G16" i="8"/>
  <c r="F16" i="8"/>
  <c r="C16" i="8"/>
  <c r="BA16" i="8" s="1"/>
  <c r="J37" i="8"/>
  <c r="BF37" i="8" s="1"/>
  <c r="G51" i="8"/>
  <c r="F160" i="8" s="1"/>
  <c r="AZ51" i="8"/>
  <c r="E51" i="8"/>
  <c r="D160" i="8" s="1"/>
  <c r="F51" i="8"/>
  <c r="E160" i="8" s="1"/>
  <c r="BC51" i="8"/>
  <c r="D51" i="8"/>
  <c r="C160" i="8" s="1"/>
  <c r="BA51" i="8"/>
  <c r="BB51" i="8"/>
  <c r="E68" i="8"/>
  <c r="F68" i="8"/>
  <c r="C68" i="8"/>
  <c r="G68" i="8"/>
  <c r="J13" i="8"/>
  <c r="BD13" i="8" s="1"/>
  <c r="BG26" i="8"/>
  <c r="BA32" i="8"/>
  <c r="E141" i="8"/>
  <c r="BC32" i="8"/>
  <c r="BB32" i="8"/>
  <c r="J48" i="8"/>
  <c r="BD48" i="8" s="1"/>
  <c r="J76" i="8"/>
  <c r="BD44" i="8"/>
  <c r="M153" i="8"/>
  <c r="J153" i="8"/>
  <c r="BF44" i="8"/>
  <c r="BE44" i="8"/>
  <c r="BG44" i="8"/>
  <c r="E79" i="8"/>
  <c r="D79" i="8"/>
  <c r="C79" i="8"/>
  <c r="G79" i="8"/>
  <c r="M127" i="8"/>
  <c r="BG18" i="8"/>
  <c r="BF18" i="8"/>
  <c r="K127" i="8"/>
  <c r="BE18" i="8"/>
  <c r="BD18" i="8"/>
  <c r="D30" i="8"/>
  <c r="G30" i="8"/>
  <c r="C30" i="8"/>
  <c r="AZ30" i="8" s="1"/>
  <c r="E30" i="8"/>
  <c r="F30" i="8"/>
  <c r="K200" i="8"/>
  <c r="C217" i="8"/>
  <c r="F217" i="8"/>
  <c r="M141" i="8"/>
  <c r="BD32" i="8"/>
  <c r="BF32" i="8"/>
  <c r="BE32" i="8"/>
  <c r="BA45" i="8"/>
  <c r="AZ45" i="8"/>
  <c r="E154" i="8"/>
  <c r="BB45" i="8"/>
  <c r="L212" i="8"/>
  <c r="O316" i="8"/>
  <c r="E222" i="8"/>
  <c r="D212" i="8"/>
  <c r="F222" i="8"/>
  <c r="M316" i="8"/>
  <c r="C317" i="9"/>
  <c r="K317" i="9" s="1"/>
  <c r="J66" i="8"/>
  <c r="L177" i="8"/>
  <c r="I177" i="8"/>
  <c r="J177" i="8"/>
  <c r="M177" i="8"/>
  <c r="K177" i="8"/>
  <c r="M139" i="8"/>
  <c r="BD30" i="8"/>
  <c r="J23" i="8"/>
  <c r="BD23" i="8" s="1"/>
  <c r="F40" i="8"/>
  <c r="G40" i="8"/>
  <c r="E40" i="8"/>
  <c r="C40" i="8"/>
  <c r="BA40" i="8" s="1"/>
  <c r="D40" i="8"/>
  <c r="J53" i="8"/>
  <c r="BE53" i="8" s="1"/>
  <c r="J71" i="8"/>
  <c r="C313" i="9"/>
  <c r="K313" i="9" s="1"/>
  <c r="J115" i="8"/>
  <c r="BE24" i="8"/>
  <c r="BG41" i="8"/>
  <c r="C312" i="9"/>
  <c r="K312" i="9" s="1"/>
  <c r="G334" i="9"/>
  <c r="F337" i="9"/>
  <c r="K198" i="8"/>
  <c r="G337" i="9"/>
  <c r="BG36" i="8"/>
  <c r="I138" i="8"/>
  <c r="J57" i="9"/>
  <c r="H84" i="9" s="1"/>
  <c r="H89" i="9" s="1"/>
  <c r="J89" i="9" s="1"/>
  <c r="F315" i="8"/>
  <c r="C15" i="8"/>
  <c r="BB15" i="8" s="1"/>
  <c r="E25" i="8"/>
  <c r="E8" i="8"/>
  <c r="G15" i="8"/>
  <c r="G25" i="8"/>
  <c r="D25" i="8"/>
  <c r="D8" i="8"/>
  <c r="F15" i="8"/>
  <c r="C8" i="8"/>
  <c r="F11" i="8"/>
  <c r="D14" i="8"/>
  <c r="G27" i="8"/>
  <c r="F14" i="8"/>
  <c r="E123" i="8" s="1"/>
  <c r="E14" i="8"/>
  <c r="D123" i="8" s="1"/>
  <c r="F24" i="8"/>
  <c r="C28" i="8"/>
  <c r="AZ28" i="8" s="1"/>
  <c r="C24" i="8"/>
  <c r="BC24" i="8" s="1"/>
  <c r="F28" i="8"/>
  <c r="G24" i="8"/>
  <c r="C11" i="8"/>
  <c r="AZ11" i="8" s="1"/>
  <c r="E11" i="8"/>
  <c r="G28" i="8"/>
  <c r="BC13" i="8"/>
  <c r="G17" i="8"/>
  <c r="C27" i="8"/>
  <c r="BB27" i="8" s="1"/>
  <c r="E13" i="8"/>
  <c r="D122" i="8" s="1"/>
  <c r="F27" i="8"/>
  <c r="F13" i="8"/>
  <c r="E122" i="8" s="1"/>
  <c r="F23" i="8"/>
  <c r="C23" i="8"/>
  <c r="BC23" i="8" s="1"/>
  <c r="BB13" i="8"/>
  <c r="D13" i="8"/>
  <c r="D23" i="8"/>
  <c r="G13" i="8"/>
  <c r="F122" i="8" s="1"/>
  <c r="AZ13" i="8"/>
  <c r="BA13" i="8"/>
  <c r="F17" i="8"/>
  <c r="E23" i="8"/>
  <c r="D27" i="8"/>
  <c r="D17" i="8"/>
  <c r="D196" i="8"/>
  <c r="J213" i="8"/>
  <c r="K317" i="8"/>
  <c r="O317" i="8"/>
  <c r="L223" i="8"/>
  <c r="K213" i="8"/>
  <c r="C213" i="8"/>
  <c r="AZ10" i="8"/>
  <c r="D7" i="8"/>
  <c r="D10" i="8"/>
  <c r="C119" i="8" s="1"/>
  <c r="G7" i="8"/>
  <c r="F10" i="8"/>
  <c r="E119" i="8" s="1"/>
  <c r="BC10" i="8"/>
  <c r="E10" i="8"/>
  <c r="E7" i="8"/>
  <c r="G10" i="8"/>
  <c r="F119" i="8" s="1"/>
  <c r="J10" i="8"/>
  <c r="C7" i="8"/>
  <c r="BC7" i="8" s="1"/>
  <c r="BB10" i="8"/>
  <c r="K115" i="8"/>
  <c r="C231" i="8"/>
  <c r="D99" i="8" s="1"/>
  <c r="D101" i="8" s="1"/>
  <c r="L215" i="8"/>
  <c r="H333" i="9"/>
  <c r="G192" i="9"/>
  <c r="I348" i="9" s="1"/>
  <c r="H330" i="9"/>
  <c r="J5" i="8"/>
  <c r="BG5" i="8" s="1"/>
  <c r="H336" i="9"/>
  <c r="E334" i="9"/>
  <c r="L225" i="8"/>
  <c r="L198" i="8"/>
  <c r="D304" i="9"/>
  <c r="L304" i="9" s="1"/>
  <c r="G20" i="8"/>
  <c r="D20" i="8"/>
  <c r="F20" i="8"/>
  <c r="F223" i="8"/>
  <c r="I214" i="8"/>
  <c r="M44" i="9"/>
  <c r="I197" i="8"/>
  <c r="L44" i="9"/>
  <c r="BK1" i="8" s="1"/>
  <c r="BM1" i="8" s="1"/>
  <c r="I224" i="8"/>
  <c r="H106" i="8"/>
  <c r="J95" i="8"/>
  <c r="I231" i="8" s="1"/>
  <c r="K215" i="8"/>
  <c r="F196" i="8"/>
  <c r="F213" i="8"/>
  <c r="D198" i="8"/>
  <c r="G99" i="8"/>
  <c r="G101" i="8" s="1"/>
  <c r="F99" i="8"/>
  <c r="F101" i="8" s="1"/>
  <c r="I198" i="8"/>
  <c r="C201" i="8"/>
  <c r="C218" i="8"/>
  <c r="C228" i="8"/>
  <c r="I225" i="8"/>
  <c r="K319" i="8"/>
  <c r="BA10" i="8"/>
  <c r="E319" i="8"/>
  <c r="BA14" i="8"/>
  <c r="AZ14" i="8"/>
  <c r="D225" i="8"/>
  <c r="M319" i="8"/>
  <c r="K225" i="8"/>
  <c r="C198" i="8"/>
  <c r="M198" i="8"/>
  <c r="C215" i="8"/>
  <c r="C225" i="8"/>
  <c r="L319" i="8"/>
  <c r="J198" i="8"/>
  <c r="J217" i="8"/>
  <c r="J225" i="8"/>
  <c r="J227" i="8"/>
  <c r="J200" i="8"/>
  <c r="G319" i="8"/>
  <c r="F225" i="8"/>
  <c r="F215" i="8"/>
  <c r="F198" i="8"/>
  <c r="F21" i="8"/>
  <c r="E21" i="8"/>
  <c r="G21" i="8"/>
  <c r="C21" i="8"/>
  <c r="BA21" i="8" s="1"/>
  <c r="D21" i="8"/>
  <c r="F12" i="8"/>
  <c r="C12" i="8"/>
  <c r="BA12" i="8" s="1"/>
  <c r="D12" i="8"/>
  <c r="G12" i="8"/>
  <c r="E12" i="8"/>
  <c r="L137" i="8" l="1"/>
  <c r="L181" i="8"/>
  <c r="J181" i="8"/>
  <c r="BF42" i="8"/>
  <c r="I135" i="8"/>
  <c r="M151" i="8"/>
  <c r="D144" i="8"/>
  <c r="E144" i="8"/>
  <c r="I181" i="8"/>
  <c r="J123" i="8"/>
  <c r="D157" i="8"/>
  <c r="C152" i="8"/>
  <c r="E148" i="8"/>
  <c r="F152" i="8"/>
  <c r="L131" i="8"/>
  <c r="C309" i="9"/>
  <c r="K309" i="9" s="1"/>
  <c r="BC6" i="8"/>
  <c r="K135" i="8"/>
  <c r="M324" i="8"/>
  <c r="K203" i="8"/>
  <c r="K230" i="8"/>
  <c r="BE30" i="8"/>
  <c r="E174" i="8"/>
  <c r="L172" i="8"/>
  <c r="L139" i="8"/>
  <c r="K174" i="8"/>
  <c r="BG30" i="8"/>
  <c r="BC53" i="8"/>
  <c r="BB48" i="8"/>
  <c r="C157" i="8"/>
  <c r="I139" i="8"/>
  <c r="K139" i="8"/>
  <c r="L187" i="8"/>
  <c r="E157" i="8"/>
  <c r="BF46" i="8"/>
  <c r="J187" i="8"/>
  <c r="BC48" i="8"/>
  <c r="J139" i="8"/>
  <c r="I187" i="8"/>
  <c r="F157" i="8"/>
  <c r="D191" i="8"/>
  <c r="BF45" i="8"/>
  <c r="C191" i="8"/>
  <c r="I131" i="8"/>
  <c r="F191" i="8"/>
  <c r="E183" i="8"/>
  <c r="F183" i="8"/>
  <c r="E191" i="8"/>
  <c r="L323" i="8"/>
  <c r="J229" i="8"/>
  <c r="J219" i="8"/>
  <c r="BC35" i="8"/>
  <c r="D148" i="8"/>
  <c r="J131" i="8"/>
  <c r="J151" i="8"/>
  <c r="M155" i="8"/>
  <c r="BG45" i="8"/>
  <c r="L174" i="8"/>
  <c r="BE45" i="8"/>
  <c r="L155" i="8"/>
  <c r="F138" i="8"/>
  <c r="BD45" i="8"/>
  <c r="K166" i="8"/>
  <c r="K155" i="8"/>
  <c r="I155" i="8"/>
  <c r="L154" i="8"/>
  <c r="BE46" i="8"/>
  <c r="I174" i="8"/>
  <c r="F165" i="8"/>
  <c r="J155" i="8"/>
  <c r="BD46" i="8"/>
  <c r="BG27" i="8"/>
  <c r="BA50" i="8"/>
  <c r="J179" i="8"/>
  <c r="J165" i="8"/>
  <c r="K172" i="8"/>
  <c r="M137" i="8"/>
  <c r="J166" i="8"/>
  <c r="L189" i="8"/>
  <c r="BA35" i="8"/>
  <c r="M172" i="8"/>
  <c r="BA44" i="8"/>
  <c r="F151" i="8"/>
  <c r="AZ42" i="8"/>
  <c r="C153" i="8"/>
  <c r="E145" i="8"/>
  <c r="C181" i="8"/>
  <c r="BC52" i="8"/>
  <c r="F174" i="8"/>
  <c r="D153" i="8"/>
  <c r="C174" i="8"/>
  <c r="AZ44" i="8"/>
  <c r="D161" i="8"/>
  <c r="E153" i="8"/>
  <c r="I154" i="8"/>
  <c r="D173" i="8"/>
  <c r="D154" i="8"/>
  <c r="BG31" i="8"/>
  <c r="BG28" i="8"/>
  <c r="I158" i="8"/>
  <c r="F154" i="8"/>
  <c r="E173" i="8"/>
  <c r="E164" i="8"/>
  <c r="E126" i="8"/>
  <c r="K189" i="8"/>
  <c r="M189" i="8"/>
  <c r="C164" i="8"/>
  <c r="F164" i="8"/>
  <c r="F175" i="8"/>
  <c r="I189" i="8"/>
  <c r="I166" i="8"/>
  <c r="C173" i="8"/>
  <c r="F161" i="8"/>
  <c r="M164" i="8"/>
  <c r="E187" i="8"/>
  <c r="C151" i="8"/>
  <c r="C161" i="8"/>
  <c r="AZ52" i="8"/>
  <c r="BF31" i="8"/>
  <c r="I172" i="8"/>
  <c r="M140" i="8"/>
  <c r="F127" i="8"/>
  <c r="L140" i="8"/>
  <c r="E181" i="8"/>
  <c r="BE31" i="8"/>
  <c r="D181" i="8"/>
  <c r="I137" i="8"/>
  <c r="I164" i="8"/>
  <c r="K140" i="8"/>
  <c r="BC44" i="8"/>
  <c r="J183" i="8"/>
  <c r="J140" i="8"/>
  <c r="I140" i="8"/>
  <c r="J164" i="8"/>
  <c r="BC33" i="8"/>
  <c r="F153" i="8"/>
  <c r="C182" i="8"/>
  <c r="BB5" i="8"/>
  <c r="J189" i="8"/>
  <c r="BA5" i="8"/>
  <c r="BC5" i="8"/>
  <c r="F190" i="8"/>
  <c r="E150" i="8"/>
  <c r="I160" i="8"/>
  <c r="C180" i="8"/>
  <c r="K188" i="8"/>
  <c r="F171" i="8"/>
  <c r="C172" i="8"/>
  <c r="J136" i="8"/>
  <c r="E159" i="8"/>
  <c r="I136" i="8"/>
  <c r="M136" i="8"/>
  <c r="C159" i="8"/>
  <c r="L136" i="8"/>
  <c r="BE27" i="8"/>
  <c r="K136" i="8"/>
  <c r="D175" i="8"/>
  <c r="D186" i="8"/>
  <c r="D180" i="8"/>
  <c r="BE51" i="8"/>
  <c r="C171" i="8"/>
  <c r="D159" i="8"/>
  <c r="F180" i="8"/>
  <c r="K160" i="8"/>
  <c r="BG51" i="8"/>
  <c r="BB50" i="8"/>
  <c r="AZ33" i="8"/>
  <c r="F186" i="8"/>
  <c r="E180" i="8"/>
  <c r="BF51" i="8"/>
  <c r="AZ50" i="8"/>
  <c r="J161" i="8"/>
  <c r="E186" i="8"/>
  <c r="M160" i="8"/>
  <c r="C154" i="8"/>
  <c r="BD27" i="8"/>
  <c r="L188" i="8"/>
  <c r="BD51" i="8"/>
  <c r="L160" i="8"/>
  <c r="J152" i="8"/>
  <c r="D162" i="8"/>
  <c r="E161" i="8"/>
  <c r="L164" i="8"/>
  <c r="BB20" i="8"/>
  <c r="BC18" i="8"/>
  <c r="E127" i="8"/>
  <c r="D127" i="8"/>
  <c r="AZ18" i="8"/>
  <c r="BB18" i="8"/>
  <c r="BA18" i="8"/>
  <c r="BC20" i="8"/>
  <c r="J212" i="8"/>
  <c r="J222" i="8"/>
  <c r="J195" i="8"/>
  <c r="E189" i="8"/>
  <c r="D129" i="8"/>
  <c r="BA20" i="8"/>
  <c r="F126" i="8"/>
  <c r="C175" i="8"/>
  <c r="BF17" i="8"/>
  <c r="J126" i="8"/>
  <c r="D189" i="8"/>
  <c r="BG29" i="8"/>
  <c r="BD29" i="8"/>
  <c r="C129" i="8"/>
  <c r="L138" i="8"/>
  <c r="K130" i="8"/>
  <c r="J138" i="8"/>
  <c r="E162" i="8"/>
  <c r="K138" i="8"/>
  <c r="F129" i="8"/>
  <c r="BC17" i="8"/>
  <c r="J156" i="8"/>
  <c r="BD49" i="8"/>
  <c r="BG17" i="8"/>
  <c r="BA53" i="8"/>
  <c r="K126" i="8"/>
  <c r="D126" i="8"/>
  <c r="AZ17" i="8"/>
  <c r="BB53" i="8"/>
  <c r="E171" i="8"/>
  <c r="D182" i="8"/>
  <c r="F162" i="8"/>
  <c r="L126" i="8"/>
  <c r="E129" i="8"/>
  <c r="BB17" i="8"/>
  <c r="C162" i="8"/>
  <c r="F189" i="8"/>
  <c r="BG52" i="8"/>
  <c r="K165" i="8"/>
  <c r="BB52" i="8"/>
  <c r="BE12" i="8"/>
  <c r="BD12" i="8"/>
  <c r="E115" i="8"/>
  <c r="J121" i="8"/>
  <c r="L121" i="8"/>
  <c r="M118" i="8"/>
  <c r="BB6" i="8"/>
  <c r="AZ6" i="8"/>
  <c r="K121" i="8"/>
  <c r="F115" i="8"/>
  <c r="BA6" i="8"/>
  <c r="F194" i="8"/>
  <c r="F211" i="8"/>
  <c r="F221" i="8"/>
  <c r="D131" i="8"/>
  <c r="E135" i="8"/>
  <c r="BC22" i="8"/>
  <c r="BA26" i="8"/>
  <c r="F135" i="8"/>
  <c r="BA22" i="8"/>
  <c r="BB22" i="8"/>
  <c r="F123" i="8"/>
  <c r="BA9" i="8"/>
  <c r="F131" i="8"/>
  <c r="E131" i="8"/>
  <c r="BB14" i="8"/>
  <c r="F118" i="8"/>
  <c r="BF9" i="8"/>
  <c r="F114" i="8"/>
  <c r="C114" i="8"/>
  <c r="D135" i="8"/>
  <c r="C135" i="8"/>
  <c r="AZ26" i="8"/>
  <c r="BB26" i="8"/>
  <c r="C131" i="8"/>
  <c r="E128" i="8"/>
  <c r="F201" i="8"/>
  <c r="AZ19" i="8"/>
  <c r="BA19" i="8"/>
  <c r="AZ9" i="8"/>
  <c r="BB9" i="8"/>
  <c r="E118" i="8"/>
  <c r="C118" i="8"/>
  <c r="C197" i="8"/>
  <c r="I217" i="8"/>
  <c r="M126" i="8"/>
  <c r="E114" i="8"/>
  <c r="D318" i="8"/>
  <c r="I126" i="8"/>
  <c r="BD17" i="8"/>
  <c r="F128" i="8"/>
  <c r="I331" i="9"/>
  <c r="D114" i="8"/>
  <c r="K321" i="8"/>
  <c r="I227" i="8"/>
  <c r="C224" i="8"/>
  <c r="AZ41" i="8"/>
  <c r="F150" i="8"/>
  <c r="D150" i="8"/>
  <c r="M130" i="8"/>
  <c r="L147" i="8"/>
  <c r="D158" i="8"/>
  <c r="K158" i="8"/>
  <c r="BA25" i="8"/>
  <c r="F218" i="8"/>
  <c r="C134" i="8"/>
  <c r="E190" i="8"/>
  <c r="F182" i="8"/>
  <c r="K179" i="8"/>
  <c r="F166" i="8"/>
  <c r="BB41" i="8"/>
  <c r="BF29" i="8"/>
  <c r="E134" i="8"/>
  <c r="F134" i="8"/>
  <c r="BG21" i="8"/>
  <c r="BA41" i="8"/>
  <c r="BC41" i="8"/>
  <c r="BD43" i="8"/>
  <c r="AZ49" i="8"/>
  <c r="BF21" i="8"/>
  <c r="L130" i="8"/>
  <c r="C158" i="8"/>
  <c r="BF43" i="8"/>
  <c r="BE49" i="8"/>
  <c r="F158" i="8"/>
  <c r="BD38" i="8"/>
  <c r="F178" i="8"/>
  <c r="F228" i="8"/>
  <c r="BC25" i="8"/>
  <c r="J147" i="8"/>
  <c r="K152" i="8"/>
  <c r="BF49" i="8"/>
  <c r="BB49" i="8"/>
  <c r="F159" i="8"/>
  <c r="K117" i="8"/>
  <c r="BB25" i="8"/>
  <c r="M203" i="8"/>
  <c r="D134" i="8"/>
  <c r="C150" i="8"/>
  <c r="D190" i="8"/>
  <c r="BC49" i="8"/>
  <c r="I156" i="8"/>
  <c r="BA49" i="8"/>
  <c r="BE29" i="8"/>
  <c r="D128" i="8"/>
  <c r="BC19" i="8"/>
  <c r="BB16" i="8"/>
  <c r="BE19" i="8"/>
  <c r="AZ16" i="8"/>
  <c r="L124" i="8"/>
  <c r="M121" i="8"/>
  <c r="BG12" i="8"/>
  <c r="N315" i="8"/>
  <c r="I121" i="8"/>
  <c r="H334" i="9"/>
  <c r="I118" i="8"/>
  <c r="K118" i="8"/>
  <c r="J118" i="8"/>
  <c r="L118" i="8"/>
  <c r="BE8" i="8"/>
  <c r="L117" i="8"/>
  <c r="BF8" i="8"/>
  <c r="BD8" i="8"/>
  <c r="BG8" i="8"/>
  <c r="M117" i="8"/>
  <c r="J117" i="8"/>
  <c r="I117" i="8"/>
  <c r="J120" i="8"/>
  <c r="D228" i="8"/>
  <c r="K216" i="8"/>
  <c r="H331" i="9"/>
  <c r="C203" i="8"/>
  <c r="F214" i="8"/>
  <c r="G318" i="8"/>
  <c r="F197" i="8"/>
  <c r="D218" i="8"/>
  <c r="L194" i="8"/>
  <c r="K199" i="8"/>
  <c r="K226" i="8"/>
  <c r="E200" i="8"/>
  <c r="M194" i="8"/>
  <c r="F320" i="8"/>
  <c r="I202" i="8"/>
  <c r="E226" i="8"/>
  <c r="E199" i="8"/>
  <c r="E224" i="8"/>
  <c r="K202" i="8"/>
  <c r="D201" i="8"/>
  <c r="M315" i="8"/>
  <c r="M197" i="8"/>
  <c r="M323" i="8"/>
  <c r="L221" i="8"/>
  <c r="D197" i="8"/>
  <c r="K194" i="8"/>
  <c r="K211" i="8"/>
  <c r="D214" i="8"/>
  <c r="F318" i="8"/>
  <c r="D220" i="8"/>
  <c r="E318" i="8"/>
  <c r="E197" i="8"/>
  <c r="I199" i="8"/>
  <c r="C226" i="8"/>
  <c r="E324" i="8"/>
  <c r="L318" i="8"/>
  <c r="E230" i="8"/>
  <c r="D203" i="8"/>
  <c r="K229" i="8"/>
  <c r="C216" i="8"/>
  <c r="C199" i="8"/>
  <c r="BD37" i="8"/>
  <c r="BG15" i="8"/>
  <c r="M124" i="8"/>
  <c r="D187" i="8"/>
  <c r="J173" i="8"/>
  <c r="BE15" i="8"/>
  <c r="D166" i="8"/>
  <c r="E166" i="8"/>
  <c r="K124" i="8"/>
  <c r="D200" i="8"/>
  <c r="C166" i="8"/>
  <c r="BE21" i="8"/>
  <c r="I130" i="8"/>
  <c r="J130" i="8"/>
  <c r="BF53" i="8"/>
  <c r="BD53" i="8"/>
  <c r="D167" i="8"/>
  <c r="E178" i="8"/>
  <c r="I183" i="8"/>
  <c r="E172" i="8"/>
  <c r="K154" i="8"/>
  <c r="I184" i="8"/>
  <c r="M184" i="8"/>
  <c r="L184" i="8"/>
  <c r="K184" i="8"/>
  <c r="J224" i="8"/>
  <c r="E203" i="8"/>
  <c r="D178" i="8"/>
  <c r="L166" i="8"/>
  <c r="J154" i="8"/>
  <c r="D165" i="8"/>
  <c r="BF15" i="8"/>
  <c r="H337" i="9"/>
  <c r="BF38" i="8"/>
  <c r="M147" i="8"/>
  <c r="BE38" i="8"/>
  <c r="K147" i="8"/>
  <c r="M158" i="8"/>
  <c r="L158" i="8"/>
  <c r="J158" i="8"/>
  <c r="L217" i="8"/>
  <c r="F324" i="8"/>
  <c r="I337" i="9"/>
  <c r="D151" i="8"/>
  <c r="BG49" i="8"/>
  <c r="M202" i="8"/>
  <c r="J214" i="8"/>
  <c r="BG48" i="8"/>
  <c r="I124" i="8"/>
  <c r="I173" i="8"/>
  <c r="E165" i="8"/>
  <c r="BG38" i="8"/>
  <c r="N323" i="8"/>
  <c r="N320" i="8"/>
  <c r="N321" i="8"/>
  <c r="L199" i="8"/>
  <c r="C220" i="8"/>
  <c r="E201" i="8"/>
  <c r="J226" i="8"/>
  <c r="J199" i="8"/>
  <c r="L218" i="8"/>
  <c r="F199" i="8"/>
  <c r="C219" i="8"/>
  <c r="E321" i="8"/>
  <c r="K224" i="8"/>
  <c r="G320" i="8"/>
  <c r="L224" i="8"/>
  <c r="G323" i="8"/>
  <c r="L216" i="8"/>
  <c r="F216" i="8"/>
  <c r="F229" i="8"/>
  <c r="N324" i="8"/>
  <c r="L230" i="8"/>
  <c r="J228" i="8"/>
  <c r="F202" i="8"/>
  <c r="L214" i="8"/>
  <c r="C229" i="8"/>
  <c r="M199" i="8"/>
  <c r="C230" i="8"/>
  <c r="D323" i="8"/>
  <c r="L197" i="8"/>
  <c r="F230" i="8"/>
  <c r="L200" i="8"/>
  <c r="D227" i="8"/>
  <c r="L220" i="8"/>
  <c r="F220" i="8"/>
  <c r="D219" i="8"/>
  <c r="E320" i="8"/>
  <c r="E218" i="8"/>
  <c r="D199" i="8"/>
  <c r="L322" i="8"/>
  <c r="J201" i="8"/>
  <c r="J220" i="8"/>
  <c r="J230" i="8"/>
  <c r="L320" i="8"/>
  <c r="F322" i="8"/>
  <c r="D216" i="8"/>
  <c r="I203" i="8"/>
  <c r="C145" i="8"/>
  <c r="F145" i="8"/>
  <c r="L324" i="8"/>
  <c r="E196" i="8"/>
  <c r="L229" i="8"/>
  <c r="D202" i="8"/>
  <c r="D172" i="8"/>
  <c r="C190" i="8"/>
  <c r="BF47" i="8"/>
  <c r="L156" i="8"/>
  <c r="K156" i="8"/>
  <c r="M156" i="8"/>
  <c r="L176" i="8"/>
  <c r="BC36" i="8"/>
  <c r="I129" i="8"/>
  <c r="I161" i="8"/>
  <c r="BF7" i="8"/>
  <c r="K116" i="8"/>
  <c r="BE7" i="8"/>
  <c r="L116" i="8"/>
  <c r="BD7" i="8"/>
  <c r="J116" i="8"/>
  <c r="M116" i="8"/>
  <c r="I116" i="8"/>
  <c r="M165" i="8"/>
  <c r="L165" i="8"/>
  <c r="I165" i="8"/>
  <c r="BE20" i="8"/>
  <c r="J129" i="8"/>
  <c r="BD20" i="8"/>
  <c r="K129" i="8"/>
  <c r="BF20" i="8"/>
  <c r="BG20" i="8"/>
  <c r="C156" i="8"/>
  <c r="L201" i="8"/>
  <c r="E229" i="8"/>
  <c r="L202" i="8"/>
  <c r="E323" i="8"/>
  <c r="K197" i="8"/>
  <c r="G324" i="8"/>
  <c r="I128" i="8"/>
  <c r="F172" i="8"/>
  <c r="K183" i="8"/>
  <c r="E167" i="8"/>
  <c r="C167" i="8"/>
  <c r="F167" i="8"/>
  <c r="BA29" i="8"/>
  <c r="E138" i="8"/>
  <c r="D138" i="8"/>
  <c r="BB29" i="8"/>
  <c r="I176" i="8"/>
  <c r="M176" i="8"/>
  <c r="J176" i="8"/>
  <c r="K176" i="8"/>
  <c r="D145" i="8"/>
  <c r="J137" i="8"/>
  <c r="BE28" i="8"/>
  <c r="BE52" i="8"/>
  <c r="BC42" i="8"/>
  <c r="E151" i="8"/>
  <c r="BB42" i="8"/>
  <c r="C138" i="8"/>
  <c r="E156" i="8"/>
  <c r="BC47" i="8"/>
  <c r="F156" i="8"/>
  <c r="BB47" i="8"/>
  <c r="AZ47" i="8"/>
  <c r="L129" i="8"/>
  <c r="C179" i="8"/>
  <c r="E179" i="8"/>
  <c r="D179" i="8"/>
  <c r="N322" i="8"/>
  <c r="F317" i="8"/>
  <c r="I216" i="8"/>
  <c r="K323" i="8"/>
  <c r="M128" i="8"/>
  <c r="BA33" i="8"/>
  <c r="D142" i="8"/>
  <c r="F142" i="8"/>
  <c r="C142" i="8"/>
  <c r="BC29" i="8"/>
  <c r="BF28" i="8"/>
  <c r="F179" i="8"/>
  <c r="D156" i="8"/>
  <c r="J188" i="8"/>
  <c r="I188" i="8"/>
  <c r="L161" i="8"/>
  <c r="E213" i="8"/>
  <c r="F321" i="8"/>
  <c r="M318" i="8"/>
  <c r="K320" i="8"/>
  <c r="I220" i="8"/>
  <c r="BD47" i="8"/>
  <c r="L152" i="8"/>
  <c r="I152" i="8"/>
  <c r="M152" i="8"/>
  <c r="BG43" i="8"/>
  <c r="BE43" i="8"/>
  <c r="BA36" i="8"/>
  <c r="K137" i="8"/>
  <c r="K173" i="8"/>
  <c r="BD52" i="8"/>
  <c r="I179" i="8"/>
  <c r="L179" i="8"/>
  <c r="C187" i="8"/>
  <c r="F187" i="8"/>
  <c r="K161" i="8"/>
  <c r="E219" i="8"/>
  <c r="L183" i="8"/>
  <c r="M183" i="8"/>
  <c r="BB36" i="8"/>
  <c r="E202" i="8"/>
  <c r="E227" i="8"/>
  <c r="I219" i="8"/>
  <c r="K324" i="8"/>
  <c r="M129" i="8"/>
  <c r="BG47" i="8"/>
  <c r="E142" i="8"/>
  <c r="BE9" i="8"/>
  <c r="BG9" i="8"/>
  <c r="BA47" i="8"/>
  <c r="AZ36" i="8"/>
  <c r="BF52" i="8"/>
  <c r="J124" i="8"/>
  <c r="K120" i="8"/>
  <c r="BD11" i="8"/>
  <c r="I120" i="8"/>
  <c r="L120" i="8"/>
  <c r="BE11" i="8"/>
  <c r="M120" i="8"/>
  <c r="BF11" i="8"/>
  <c r="L173" i="8"/>
  <c r="K322" i="8"/>
  <c r="I218" i="8"/>
  <c r="K201" i="8"/>
  <c r="I201" i="8"/>
  <c r="E225" i="8"/>
  <c r="E215" i="8"/>
  <c r="M200" i="8"/>
  <c r="M201" i="8"/>
  <c r="E198" i="8"/>
  <c r="F137" i="8"/>
  <c r="BA28" i="8"/>
  <c r="F125" i="8"/>
  <c r="D125" i="8"/>
  <c r="L128" i="8"/>
  <c r="BE37" i="8"/>
  <c r="BF40" i="8"/>
  <c r="AZ15" i="8"/>
  <c r="E125" i="8"/>
  <c r="BG19" i="8"/>
  <c r="BE40" i="8"/>
  <c r="D185" i="8"/>
  <c r="C185" i="8"/>
  <c r="E185" i="8"/>
  <c r="J149" i="8"/>
  <c r="K149" i="8"/>
  <c r="L149" i="8"/>
  <c r="BG40" i="8"/>
  <c r="I149" i="8"/>
  <c r="M149" i="8"/>
  <c r="BA23" i="8"/>
  <c r="E124" i="8"/>
  <c r="K218" i="8"/>
  <c r="AZ40" i="8"/>
  <c r="BF50" i="8"/>
  <c r="BG50" i="8"/>
  <c r="I159" i="8"/>
  <c r="BD50" i="8"/>
  <c r="BE50" i="8"/>
  <c r="K159" i="8"/>
  <c r="J159" i="8"/>
  <c r="M159" i="8"/>
  <c r="L159" i="8"/>
  <c r="BC16" i="8"/>
  <c r="M322" i="8"/>
  <c r="J128" i="8"/>
  <c r="BC40" i="8"/>
  <c r="BC15" i="8"/>
  <c r="K128" i="8"/>
  <c r="BF19" i="8"/>
  <c r="F227" i="8"/>
  <c r="F117" i="8"/>
  <c r="E211" i="8"/>
  <c r="K195" i="8"/>
  <c r="K222" i="8"/>
  <c r="M195" i="8"/>
  <c r="L222" i="8"/>
  <c r="F200" i="8"/>
  <c r="G321" i="8"/>
  <c r="E221" i="8"/>
  <c r="E194" i="8"/>
  <c r="F212" i="8"/>
  <c r="K212" i="8"/>
  <c r="K217" i="8"/>
  <c r="K227" i="8"/>
  <c r="E212" i="8"/>
  <c r="M321" i="8"/>
  <c r="F316" i="8"/>
  <c r="D222" i="8"/>
  <c r="G316" i="8"/>
  <c r="F195" i="8"/>
  <c r="D195" i="8"/>
  <c r="E316" i="8"/>
  <c r="E195" i="8"/>
  <c r="D124" i="8"/>
  <c r="BA30" i="8"/>
  <c r="J180" i="8"/>
  <c r="M180" i="8"/>
  <c r="I180" i="8"/>
  <c r="L180" i="8"/>
  <c r="K180" i="8"/>
  <c r="N316" i="8"/>
  <c r="BA15" i="8"/>
  <c r="BC30" i="8"/>
  <c r="BF13" i="8"/>
  <c r="D321" i="8"/>
  <c r="BG23" i="8"/>
  <c r="BB7" i="8"/>
  <c r="F124" i="8"/>
  <c r="BB30" i="8"/>
  <c r="E188" i="8"/>
  <c r="D188" i="8"/>
  <c r="C188" i="8"/>
  <c r="F188" i="8"/>
  <c r="L157" i="8"/>
  <c r="J157" i="8"/>
  <c r="M157" i="8"/>
  <c r="K157" i="8"/>
  <c r="I157" i="8"/>
  <c r="BE13" i="8"/>
  <c r="K146" i="8"/>
  <c r="J146" i="8"/>
  <c r="M146" i="8"/>
  <c r="I146" i="8"/>
  <c r="L146" i="8"/>
  <c r="E116" i="8"/>
  <c r="L195" i="8"/>
  <c r="J162" i="8"/>
  <c r="M162" i="8"/>
  <c r="K162" i="8"/>
  <c r="L162" i="8"/>
  <c r="I162" i="8"/>
  <c r="D149" i="8"/>
  <c r="E149" i="8"/>
  <c r="C149" i="8"/>
  <c r="F149" i="8"/>
  <c r="BB40" i="8"/>
  <c r="M185" i="8"/>
  <c r="L185" i="8"/>
  <c r="J185" i="8"/>
  <c r="I185" i="8"/>
  <c r="K185" i="8"/>
  <c r="BG13" i="8"/>
  <c r="E177" i="8"/>
  <c r="D177" i="8"/>
  <c r="C177" i="8"/>
  <c r="F177" i="8"/>
  <c r="BG53" i="8"/>
  <c r="BE48" i="8"/>
  <c r="BF48" i="8"/>
  <c r="BG37" i="8"/>
  <c r="M132" i="8"/>
  <c r="I132" i="8"/>
  <c r="BE23" i="8"/>
  <c r="L132" i="8"/>
  <c r="J132" i="8"/>
  <c r="K132" i="8"/>
  <c r="C200" i="8"/>
  <c r="C227" i="8"/>
  <c r="C116" i="8"/>
  <c r="BF23" i="8"/>
  <c r="K175" i="8"/>
  <c r="L175" i="8"/>
  <c r="M175" i="8"/>
  <c r="I175" i="8"/>
  <c r="J175" i="8"/>
  <c r="E139" i="8"/>
  <c r="F139" i="8"/>
  <c r="C139" i="8"/>
  <c r="D139" i="8"/>
  <c r="J122" i="8"/>
  <c r="M122" i="8"/>
  <c r="I122" i="8"/>
  <c r="L122" i="8"/>
  <c r="K122" i="8"/>
  <c r="E120" i="8"/>
  <c r="AZ23" i="8"/>
  <c r="BA11" i="8"/>
  <c r="AZ8" i="8"/>
  <c r="BB8" i="8"/>
  <c r="C117" i="8"/>
  <c r="F132" i="8"/>
  <c r="BC8" i="8"/>
  <c r="BB23" i="8"/>
  <c r="C132" i="8"/>
  <c r="F136" i="8"/>
  <c r="BA8" i="8"/>
  <c r="E117" i="8"/>
  <c r="BA27" i="8"/>
  <c r="E132" i="8"/>
  <c r="D132" i="8"/>
  <c r="AZ24" i="8"/>
  <c r="C133" i="8"/>
  <c r="F133" i="8"/>
  <c r="E133" i="8"/>
  <c r="C120" i="8"/>
  <c r="BC11" i="8"/>
  <c r="BB11" i="8"/>
  <c r="BB24" i="8"/>
  <c r="BB28" i="8"/>
  <c r="D133" i="8"/>
  <c r="E137" i="8"/>
  <c r="BC28" i="8"/>
  <c r="BA24" i="8"/>
  <c r="D137" i="8"/>
  <c r="C137" i="8"/>
  <c r="F120" i="8"/>
  <c r="E136" i="8"/>
  <c r="AZ27" i="8"/>
  <c r="AZ7" i="8"/>
  <c r="BC27" i="8"/>
  <c r="D136" i="8"/>
  <c r="I223" i="8"/>
  <c r="BA7" i="8"/>
  <c r="C136" i="8"/>
  <c r="N317" i="8"/>
  <c r="L196" i="8"/>
  <c r="L213" i="8"/>
  <c r="M196" i="8"/>
  <c r="I213" i="8"/>
  <c r="I196" i="8"/>
  <c r="M317" i="8"/>
  <c r="K223" i="8"/>
  <c r="E317" i="8"/>
  <c r="D223" i="8"/>
  <c r="J223" i="8"/>
  <c r="D213" i="8"/>
  <c r="L317" i="8"/>
  <c r="C223" i="8"/>
  <c r="C196" i="8"/>
  <c r="J196" i="8"/>
  <c r="D317" i="8"/>
  <c r="K196" i="8"/>
  <c r="K119" i="8"/>
  <c r="BF10" i="8"/>
  <c r="BD10" i="8"/>
  <c r="L119" i="8"/>
  <c r="J119" i="8"/>
  <c r="I119" i="8"/>
  <c r="BE10" i="8"/>
  <c r="M119" i="8"/>
  <c r="BG10" i="8"/>
  <c r="F116" i="8"/>
  <c r="N104" i="8"/>
  <c r="N105" i="8" s="1"/>
  <c r="D232" i="8"/>
  <c r="E99" i="8" s="1"/>
  <c r="E101" i="8" s="1"/>
  <c r="BF5" i="8"/>
  <c r="BE5" i="8"/>
  <c r="BD5" i="8"/>
  <c r="K101" i="8"/>
  <c r="M101" i="8"/>
  <c r="L101" i="8"/>
  <c r="K114" i="8"/>
  <c r="N101" i="8"/>
  <c r="L114" i="8"/>
  <c r="M114" i="8"/>
  <c r="I334" i="9"/>
  <c r="C311" i="9"/>
  <c r="K311" i="9" s="1"/>
  <c r="BB12" i="8"/>
  <c r="K104" i="8"/>
  <c r="K105" i="8" s="1"/>
  <c r="M104" i="8"/>
  <c r="M105" i="8" s="1"/>
  <c r="L45" i="9"/>
  <c r="B54" i="9" s="1"/>
  <c r="Q4" i="8"/>
  <c r="L104" i="8"/>
  <c r="K45" i="9"/>
  <c r="G219" i="9" s="1"/>
  <c r="H107" i="8"/>
  <c r="N44" i="9"/>
  <c r="D287" i="9" s="1"/>
  <c r="K287" i="9" s="1"/>
  <c r="AZ12" i="8"/>
  <c r="BC12" i="8"/>
  <c r="E130" i="8"/>
  <c r="F130" i="8"/>
  <c r="D130" i="8"/>
  <c r="C130" i="8"/>
  <c r="AZ21" i="8"/>
  <c r="BB21" i="8"/>
  <c r="E121" i="8"/>
  <c r="C121" i="8"/>
  <c r="F121" i="8"/>
  <c r="BC21" i="8"/>
  <c r="B219" i="9" l="1"/>
  <c r="B221" i="9"/>
  <c r="B52" i="9"/>
  <c r="B56" i="9"/>
  <c r="B50" i="9"/>
  <c r="K331" i="9"/>
  <c r="C322" i="9"/>
  <c r="K322" i="9" s="1"/>
  <c r="C323" i="9"/>
  <c r="K323" i="9" s="1"/>
  <c r="D119" i="8"/>
  <c r="D120" i="8"/>
  <c r="C128" i="8"/>
  <c r="D118" i="8"/>
  <c r="C122" i="8"/>
  <c r="C123" i="8"/>
  <c r="C324" i="9"/>
  <c r="K324" i="9" s="1"/>
  <c r="K337" i="9"/>
  <c r="N100" i="8"/>
  <c r="L100" i="8"/>
  <c r="M100" i="8"/>
  <c r="D100" i="8"/>
  <c r="E100" i="8"/>
  <c r="F100" i="8"/>
  <c r="K100" i="8"/>
  <c r="H223" i="9"/>
  <c r="K334" i="9"/>
  <c r="G100" i="8"/>
  <c r="L105" i="8"/>
  <c r="Q5" i="8"/>
  <c r="AA4" i="8"/>
  <c r="J55" i="9"/>
  <c r="B84" i="9"/>
  <c r="B57" i="9"/>
  <c r="BL1" i="8"/>
  <c r="K264" i="9"/>
  <c r="M45" i="9"/>
  <c r="B89" i="9" s="1"/>
  <c r="E104" i="8"/>
  <c r="E103" i="8" s="1"/>
  <c r="K102" i="8"/>
  <c r="K103" i="8" s="1"/>
  <c r="L102" i="8"/>
  <c r="L103" i="8" s="1"/>
  <c r="I107" i="8"/>
  <c r="D117" i="8" s="1"/>
  <c r="N102" i="8"/>
  <c r="G104" i="8"/>
  <c r="G103" i="8" s="1"/>
  <c r="D104" i="8"/>
  <c r="D103" i="8" s="1"/>
  <c r="M102" i="8"/>
  <c r="H204" i="8"/>
  <c r="F104" i="8"/>
  <c r="F103" i="8" s="1"/>
  <c r="G102" i="8"/>
  <c r="E102" i="8"/>
  <c r="B204" i="8"/>
  <c r="D102" i="8"/>
  <c r="F102" i="8"/>
  <c r="I114" i="8" l="1"/>
  <c r="D116" i="8"/>
  <c r="C127" i="8"/>
  <c r="D121" i="8"/>
  <c r="I115" i="8"/>
  <c r="C124" i="8"/>
  <c r="C125" i="8"/>
  <c r="C126" i="8"/>
  <c r="E105" i="8"/>
  <c r="G105" i="8"/>
  <c r="F105" i="8"/>
  <c r="D105" i="8"/>
  <c r="H103" i="8"/>
  <c r="L204" i="8"/>
  <c r="J114" i="8"/>
  <c r="C115" i="8"/>
  <c r="E208" i="8"/>
  <c r="I204" i="8"/>
  <c r="D208" i="8"/>
  <c r="C208" i="8"/>
  <c r="V4" i="8"/>
  <c r="AH4" i="8" s="1"/>
  <c r="BU4" i="8" s="1"/>
  <c r="U4" i="8"/>
  <c r="AF4" i="8" s="1"/>
  <c r="F208" i="8"/>
  <c r="D204" i="8"/>
  <c r="T4" i="8"/>
  <c r="AE4" i="8" s="1"/>
  <c r="BT4" i="8" s="1"/>
  <c r="X5" i="8"/>
  <c r="R4" i="8"/>
  <c r="AB4" i="8" s="1"/>
  <c r="BS4" i="8" s="1"/>
  <c r="C204" i="8"/>
  <c r="S4" i="8"/>
  <c r="AC4" i="8" s="1"/>
  <c r="DK4" i="8" s="1"/>
  <c r="E204" i="8"/>
  <c r="F204" i="8"/>
  <c r="N103" i="8"/>
  <c r="Y4" i="8"/>
  <c r="AL4" i="8" s="1"/>
  <c r="T5" i="8"/>
  <c r="B189" i="8"/>
  <c r="H182" i="8"/>
  <c r="H179" i="8"/>
  <c r="B200" i="8"/>
  <c r="B138" i="8"/>
  <c r="B114" i="8"/>
  <c r="B168" i="8"/>
  <c r="H157" i="8"/>
  <c r="B201" i="8"/>
  <c r="B137" i="8"/>
  <c r="B136" i="8"/>
  <c r="H198" i="8"/>
  <c r="B125" i="8"/>
  <c r="H178" i="8"/>
  <c r="B163" i="8"/>
  <c r="H170" i="8"/>
  <c r="B176" i="8"/>
  <c r="B184" i="8"/>
  <c r="B145" i="8"/>
  <c r="H185" i="8"/>
  <c r="H143" i="8"/>
  <c r="B142" i="8"/>
  <c r="H173" i="8"/>
  <c r="H163" i="8"/>
  <c r="B154" i="8"/>
  <c r="H119" i="8"/>
  <c r="H196" i="8"/>
  <c r="H165" i="8"/>
  <c r="B195" i="8"/>
  <c r="B161" i="8"/>
  <c r="H145" i="8"/>
  <c r="H183" i="8"/>
  <c r="H140" i="8"/>
  <c r="H118" i="8"/>
  <c r="H180" i="8"/>
  <c r="H144" i="8"/>
  <c r="H203" i="8"/>
  <c r="B128" i="8"/>
  <c r="B196" i="8"/>
  <c r="B120" i="8"/>
  <c r="H128" i="8"/>
  <c r="H172" i="8"/>
  <c r="B183" i="8"/>
  <c r="B144" i="8"/>
  <c r="B172" i="8"/>
  <c r="B180" i="8"/>
  <c r="B152" i="8"/>
  <c r="B169" i="8"/>
  <c r="B181" i="8"/>
  <c r="H189" i="8"/>
  <c r="B126" i="8"/>
  <c r="B197" i="8"/>
  <c r="H115" i="8"/>
  <c r="B131" i="8"/>
  <c r="B118" i="8"/>
  <c r="B122" i="8"/>
  <c r="B135" i="8"/>
  <c r="H181" i="8"/>
  <c r="H156" i="8"/>
  <c r="H194" i="8"/>
  <c r="H129" i="8"/>
  <c r="H187" i="8"/>
  <c r="H155" i="8"/>
  <c r="B188" i="8"/>
  <c r="H153" i="8"/>
  <c r="H137" i="8"/>
  <c r="B175" i="8"/>
  <c r="H142" i="8"/>
  <c r="H199" i="8"/>
  <c r="H117" i="8"/>
  <c r="H168" i="8"/>
  <c r="B140" i="8"/>
  <c r="B148" i="8"/>
  <c r="H150" i="8"/>
  <c r="H197" i="8"/>
  <c r="H120" i="8"/>
  <c r="B124" i="8"/>
  <c r="H175" i="8"/>
  <c r="H174" i="8"/>
  <c r="H166" i="8"/>
  <c r="H176" i="8"/>
  <c r="H184" i="8"/>
  <c r="H171" i="8"/>
  <c r="H186" i="8"/>
  <c r="B141" i="8"/>
  <c r="H133" i="8"/>
  <c r="B123" i="8"/>
  <c r="B116" i="8"/>
  <c r="B119" i="8"/>
  <c r="H135" i="8"/>
  <c r="H169" i="8"/>
  <c r="B139" i="8"/>
  <c r="H161" i="8"/>
  <c r="H134" i="8"/>
  <c r="H116" i="8"/>
  <c r="B187" i="8"/>
  <c r="H146" i="8"/>
  <c r="H162" i="8"/>
  <c r="B194" i="8"/>
  <c r="H147" i="8"/>
  <c r="H152" i="8"/>
  <c r="H131" i="8"/>
  <c r="H126" i="8"/>
  <c r="B149" i="8"/>
  <c r="B150" i="8"/>
  <c r="B132" i="8"/>
  <c r="H125" i="8"/>
  <c r="B191" i="8"/>
  <c r="H154" i="8"/>
  <c r="H141" i="8"/>
  <c r="B182" i="8"/>
  <c r="B179" i="8"/>
  <c r="B164" i="8"/>
  <c r="H195" i="8"/>
  <c r="H177" i="8"/>
  <c r="B171" i="8"/>
  <c r="B146" i="8"/>
  <c r="B190" i="8"/>
  <c r="H159" i="8"/>
  <c r="B192" i="8"/>
  <c r="B203" i="8"/>
  <c r="H123" i="8"/>
  <c r="H193" i="8"/>
  <c r="B177" i="8"/>
  <c r="B134" i="8"/>
  <c r="H192" i="8"/>
  <c r="B159" i="8"/>
  <c r="H167" i="8"/>
  <c r="B198" i="8"/>
  <c r="H130" i="8"/>
  <c r="H209" i="8"/>
  <c r="B151" i="8"/>
  <c r="H122" i="8"/>
  <c r="H114" i="8"/>
  <c r="B178" i="8"/>
  <c r="H190" i="8"/>
  <c r="B208" i="8"/>
  <c r="H121" i="8"/>
  <c r="B157" i="8"/>
  <c r="B186" i="8"/>
  <c r="H139" i="8"/>
  <c r="B165" i="8"/>
  <c r="B117" i="8"/>
  <c r="B153" i="8"/>
  <c r="B143" i="8"/>
  <c r="H151" i="8"/>
  <c r="B156" i="8"/>
  <c r="B147" i="8"/>
  <c r="H160" i="8"/>
  <c r="H158" i="8"/>
  <c r="H188" i="8"/>
  <c r="B160" i="8"/>
  <c r="B202" i="8"/>
  <c r="B115" i="8"/>
  <c r="B185" i="8"/>
  <c r="B133" i="8"/>
  <c r="H164" i="8"/>
  <c r="H149" i="8"/>
  <c r="B173" i="8"/>
  <c r="B129" i="8"/>
  <c r="B170" i="8"/>
  <c r="H138" i="8"/>
  <c r="H148" i="8"/>
  <c r="B193" i="8"/>
  <c r="H191" i="8"/>
  <c r="B162" i="8"/>
  <c r="H136" i="8"/>
  <c r="H201" i="8"/>
  <c r="B167" i="8"/>
  <c r="H132" i="8"/>
  <c r="H202" i="8"/>
  <c r="B127" i="8"/>
  <c r="B174" i="8"/>
  <c r="B199" i="8"/>
  <c r="B158" i="8"/>
  <c r="B166" i="8"/>
  <c r="H127" i="8"/>
  <c r="B155" i="8"/>
  <c r="H200" i="8"/>
  <c r="H124" i="8"/>
  <c r="B121" i="8"/>
  <c r="B130" i="8"/>
  <c r="C1" i="8"/>
  <c r="AD4" i="8"/>
  <c r="AG4" i="8" s="1"/>
  <c r="AJ4" i="8" s="1"/>
  <c r="AN4" i="8"/>
  <c r="BQ4" i="8" s="1"/>
  <c r="CI4" i="8" s="1"/>
  <c r="DI4" i="8" s="1"/>
  <c r="DL4" i="8" s="1"/>
  <c r="DO4" i="8" s="1"/>
  <c r="DR4" i="8" s="1"/>
  <c r="DU4" i="8" s="1"/>
  <c r="X4" i="8"/>
  <c r="AK4" i="8" s="1"/>
  <c r="BV4" i="8" s="1"/>
  <c r="M204" i="8"/>
  <c r="M111" i="8" s="1"/>
  <c r="K204" i="8"/>
  <c r="AA5" i="8"/>
  <c r="Z5" i="8"/>
  <c r="Q6" i="8"/>
  <c r="U5" i="8"/>
  <c r="W5" i="8"/>
  <c r="S5" i="8"/>
  <c r="Y5" i="8"/>
  <c r="R5" i="8"/>
  <c r="V5" i="8"/>
  <c r="J204" i="8"/>
  <c r="W4" i="8"/>
  <c r="AI4" i="8" s="1"/>
  <c r="M103" i="8"/>
  <c r="Z4" i="8"/>
  <c r="AM4" i="8" s="1"/>
  <c r="AU4" i="8" s="1"/>
  <c r="F111" i="8" l="1"/>
  <c r="AK372" i="8" s="1"/>
  <c r="A105" i="8"/>
  <c r="J124" i="9" s="1"/>
  <c r="AW4" i="8"/>
  <c r="AL5" i="8"/>
  <c r="DT5" i="8" s="1"/>
  <c r="AF5" i="8"/>
  <c r="DN5" i="8" s="1"/>
  <c r="AS4" i="8"/>
  <c r="AH5" i="8"/>
  <c r="BU5" i="8" s="1"/>
  <c r="E111" i="8"/>
  <c r="J259" i="8" s="1"/>
  <c r="DN4" i="8"/>
  <c r="AR4" i="8"/>
  <c r="AB5" i="8"/>
  <c r="BR4" i="8"/>
  <c r="AT4" i="8"/>
  <c r="AE5" i="8"/>
  <c r="AP4" i="8"/>
  <c r="AV4" i="8"/>
  <c r="AQ4" i="8"/>
  <c r="AC5" i="8"/>
  <c r="DQ4" i="8"/>
  <c r="AX4" i="8"/>
  <c r="AK5" i="8"/>
  <c r="AM5" i="8"/>
  <c r="AU5" i="8" s="1"/>
  <c r="G109" i="8"/>
  <c r="AU372" i="8" s="1"/>
  <c r="AM372" i="8"/>
  <c r="AA6" i="8"/>
  <c r="T6" i="8"/>
  <c r="X6" i="8"/>
  <c r="V6" i="8"/>
  <c r="Q7" i="8"/>
  <c r="Z6" i="8"/>
  <c r="W6" i="8"/>
  <c r="U6" i="8"/>
  <c r="Y6" i="8"/>
  <c r="S6" i="8"/>
  <c r="R6" i="8"/>
  <c r="J100" i="8"/>
  <c r="C100" i="8"/>
  <c r="AD5" i="8"/>
  <c r="AG5" i="8" s="1"/>
  <c r="AJ5" i="8" s="1"/>
  <c r="AN5" i="8"/>
  <c r="BQ5" i="8" s="1"/>
  <c r="CI5" i="8" s="1"/>
  <c r="DI5" i="8" s="1"/>
  <c r="DL5" i="8" s="1"/>
  <c r="DO5" i="8" s="1"/>
  <c r="DR5" i="8" s="1"/>
  <c r="DU5" i="8" s="1"/>
  <c r="DT4" i="8"/>
  <c r="AY4" i="8"/>
  <c r="AI5" i="8"/>
  <c r="BI4" i="8" l="1"/>
  <c r="BH4" i="8" s="1"/>
  <c r="AL6" i="8"/>
  <c r="AY6" i="8" s="1"/>
  <c r="J262" i="8"/>
  <c r="J261" i="8"/>
  <c r="J123" i="9"/>
  <c r="J128" i="9"/>
  <c r="J129" i="9"/>
  <c r="AV5" i="8"/>
  <c r="AY5" i="8"/>
  <c r="AT5" i="8"/>
  <c r="AF6" i="8"/>
  <c r="DN6" i="8" s="1"/>
  <c r="AW5" i="8"/>
  <c r="AR5" i="8"/>
  <c r="AO4" i="8"/>
  <c r="AH6" i="8"/>
  <c r="BU6" i="8" s="1"/>
  <c r="BT5" i="8"/>
  <c r="AH372" i="8"/>
  <c r="J260" i="8"/>
  <c r="BR5" i="8"/>
  <c r="AB6" i="8"/>
  <c r="BS6" i="8" s="1"/>
  <c r="AE6" i="8"/>
  <c r="BT6" i="8" s="1"/>
  <c r="BS5" i="8"/>
  <c r="AP5" i="8"/>
  <c r="BI5" i="8" s="1"/>
  <c r="BV5" i="8"/>
  <c r="AK6" i="8"/>
  <c r="BV6" i="8" s="1"/>
  <c r="DW4" i="8"/>
  <c r="AC6" i="8"/>
  <c r="DK5" i="8"/>
  <c r="AQ5" i="8"/>
  <c r="V7" i="8"/>
  <c r="T7" i="8"/>
  <c r="X7" i="8"/>
  <c r="R7" i="8"/>
  <c r="S7" i="8"/>
  <c r="AA7" i="8"/>
  <c r="Q8" i="8"/>
  <c r="W7" i="8"/>
  <c r="Y7" i="8"/>
  <c r="U7" i="8"/>
  <c r="Z7" i="8"/>
  <c r="J209" i="8"/>
  <c r="K209" i="8"/>
  <c r="K111" i="8" s="1"/>
  <c r="I209" i="8"/>
  <c r="L209" i="8"/>
  <c r="L111" i="8" s="1"/>
  <c r="AD6" i="8"/>
  <c r="AG6" i="8" s="1"/>
  <c r="AJ6" i="8" s="1"/>
  <c r="AN6" i="8"/>
  <c r="BQ6" i="8" s="1"/>
  <c r="CI6" i="8" s="1"/>
  <c r="DI6" i="8" s="1"/>
  <c r="DL6" i="8" s="1"/>
  <c r="DO6" i="8" s="1"/>
  <c r="DR6" i="8" s="1"/>
  <c r="DU6" i="8" s="1"/>
  <c r="AS5" i="8"/>
  <c r="DQ5" i="8"/>
  <c r="AX5" i="8"/>
  <c r="AI6" i="8"/>
  <c r="AM6" i="8"/>
  <c r="AU6" i="8" s="1"/>
  <c r="BJ4" i="8" l="1"/>
  <c r="AL7" i="8"/>
  <c r="DT7" i="8" s="1"/>
  <c r="DT6" i="8"/>
  <c r="AE7" i="8"/>
  <c r="BT7" i="8" s="1"/>
  <c r="AW6" i="8"/>
  <c r="AF7" i="8"/>
  <c r="AH7" i="8"/>
  <c r="BU7" i="8" s="1"/>
  <c r="AS6" i="8"/>
  <c r="AO5" i="8"/>
  <c r="AR6" i="8"/>
  <c r="CK4" i="8"/>
  <c r="DM4" i="8" s="1"/>
  <c r="CL4" i="8"/>
  <c r="DP4" i="8" s="1"/>
  <c r="CM4" i="8"/>
  <c r="DS4" i="8" s="1"/>
  <c r="CJ4" i="8"/>
  <c r="AB7" i="8"/>
  <c r="BS7" i="8" s="1"/>
  <c r="DW5" i="8"/>
  <c r="AQ6" i="8"/>
  <c r="DK6" i="8"/>
  <c r="BR6" i="8"/>
  <c r="AT6" i="8"/>
  <c r="AK7" i="8"/>
  <c r="BV7" i="8" s="1"/>
  <c r="AV6" i="8"/>
  <c r="AC7" i="8"/>
  <c r="DK7" i="8" s="1"/>
  <c r="AP6" i="8"/>
  <c r="AI7" i="8"/>
  <c r="AD7" i="8"/>
  <c r="AG7" i="8" s="1"/>
  <c r="AJ7" i="8" s="1"/>
  <c r="AN7" i="8"/>
  <c r="BQ7" i="8" s="1"/>
  <c r="CI7" i="8" s="1"/>
  <c r="DI7" i="8" s="1"/>
  <c r="DL7" i="8" s="1"/>
  <c r="DO7" i="8" s="1"/>
  <c r="DR7" i="8" s="1"/>
  <c r="DU7" i="8" s="1"/>
  <c r="K259" i="8"/>
  <c r="L259" i="8" s="1"/>
  <c r="M259" i="8" s="1"/>
  <c r="AI372" i="8"/>
  <c r="K260" i="8"/>
  <c r="L260" i="8" s="1"/>
  <c r="M260" i="8" s="1"/>
  <c r="E109" i="8"/>
  <c r="K262" i="8"/>
  <c r="L262" i="8" s="1"/>
  <c r="M262" i="8" s="1"/>
  <c r="K261" i="8"/>
  <c r="L261" i="8" s="1"/>
  <c r="M261" i="8" s="1"/>
  <c r="AL372" i="8"/>
  <c r="F109" i="8"/>
  <c r="T8" i="8"/>
  <c r="Q9" i="8"/>
  <c r="R8" i="8"/>
  <c r="Z8" i="8"/>
  <c r="V8" i="8"/>
  <c r="Y8" i="8"/>
  <c r="AA8" i="8"/>
  <c r="X8" i="8"/>
  <c r="W8" i="8"/>
  <c r="S8" i="8"/>
  <c r="U8" i="8"/>
  <c r="AX6" i="8"/>
  <c r="DQ6" i="8"/>
  <c r="AM7" i="8"/>
  <c r="AU7" i="8" s="1"/>
  <c r="AY7" i="8" l="1"/>
  <c r="BH5" i="8"/>
  <c r="BJ5" i="8" s="1"/>
  <c r="AO6" i="8"/>
  <c r="BI6" i="8"/>
  <c r="AL8" i="8"/>
  <c r="DT8" i="8" s="1"/>
  <c r="AH8" i="8"/>
  <c r="BU8" i="8" s="1"/>
  <c r="AF8" i="8"/>
  <c r="DN8" i="8" s="1"/>
  <c r="AC8" i="8"/>
  <c r="AW7" i="8"/>
  <c r="AE8" i="8"/>
  <c r="AR7" i="8"/>
  <c r="DN7" i="8"/>
  <c r="DJ4" i="8"/>
  <c r="CP4" i="8"/>
  <c r="DV4" i="8" s="1"/>
  <c r="AV7" i="8"/>
  <c r="AS7" i="8"/>
  <c r="AQ7" i="8"/>
  <c r="BR7" i="8"/>
  <c r="AB8" i="8"/>
  <c r="BS8" i="8" s="1"/>
  <c r="AK8" i="8"/>
  <c r="BV8" i="8" s="1"/>
  <c r="AI8" i="8"/>
  <c r="AX8" i="8" s="1"/>
  <c r="AT7" i="8"/>
  <c r="DW6" i="8"/>
  <c r="AT372" i="8"/>
  <c r="F108" i="8"/>
  <c r="AN8" i="8"/>
  <c r="BQ8" i="8" s="1"/>
  <c r="CI8" i="8" s="1"/>
  <c r="DI8" i="8" s="1"/>
  <c r="DL8" i="8" s="1"/>
  <c r="DO8" i="8" s="1"/>
  <c r="DR8" i="8" s="1"/>
  <c r="DU8" i="8" s="1"/>
  <c r="AD8" i="8"/>
  <c r="AG8" i="8" s="1"/>
  <c r="AJ8" i="8" s="1"/>
  <c r="AP7" i="8"/>
  <c r="AM8" i="8"/>
  <c r="AU8" i="8" s="1"/>
  <c r="E108" i="8"/>
  <c r="AS372" i="8"/>
  <c r="Y9" i="8"/>
  <c r="R9" i="8"/>
  <c r="S9" i="8"/>
  <c r="V9" i="8"/>
  <c r="Z9" i="8"/>
  <c r="W9" i="8"/>
  <c r="U9" i="8"/>
  <c r="Q10" i="8"/>
  <c r="X9" i="8"/>
  <c r="AA9" i="8"/>
  <c r="T9" i="8"/>
  <c r="DQ7" i="8"/>
  <c r="AX7" i="8"/>
  <c r="AL9" i="8" l="1"/>
  <c r="DT9" i="8" s="1"/>
  <c r="AY8" i="8"/>
  <c r="BI7" i="8"/>
  <c r="AH9" i="8"/>
  <c r="BU9" i="8" s="1"/>
  <c r="AW8" i="8"/>
  <c r="AF9" i="8"/>
  <c r="DN9" i="8" s="1"/>
  <c r="AV8" i="8"/>
  <c r="DK8" i="8"/>
  <c r="AC9" i="8"/>
  <c r="BT8" i="8"/>
  <c r="AR8" i="8"/>
  <c r="AE9" i="8"/>
  <c r="AK9" i="8"/>
  <c r="BV9" i="8" s="1"/>
  <c r="BH6" i="8"/>
  <c r="BJ6" i="8" s="1"/>
  <c r="AT8" i="8"/>
  <c r="AI9" i="8"/>
  <c r="BR8" i="8"/>
  <c r="AQ8" i="8"/>
  <c r="AB9" i="8"/>
  <c r="DQ8" i="8"/>
  <c r="AS8" i="8"/>
  <c r="AM9" i="8"/>
  <c r="AU9" i="8" s="1"/>
  <c r="AP8" i="8"/>
  <c r="AD9" i="8"/>
  <c r="AG9" i="8" s="1"/>
  <c r="AJ9" i="8" s="1"/>
  <c r="AN9" i="8"/>
  <c r="BQ9" i="8" s="1"/>
  <c r="CI9" i="8" s="1"/>
  <c r="DI9" i="8" s="1"/>
  <c r="DL9" i="8" s="1"/>
  <c r="DO9" i="8" s="1"/>
  <c r="DR9" i="8" s="1"/>
  <c r="DU9" i="8" s="1"/>
  <c r="DW7" i="8"/>
  <c r="AO7" i="8"/>
  <c r="Q11" i="8"/>
  <c r="T10" i="8"/>
  <c r="Z10" i="8"/>
  <c r="R10" i="8"/>
  <c r="W10" i="8"/>
  <c r="U10" i="8"/>
  <c r="Y10" i="8"/>
  <c r="S10" i="8"/>
  <c r="X10" i="8"/>
  <c r="AA10" i="8"/>
  <c r="V10" i="8"/>
  <c r="AS9" i="8" l="1"/>
  <c r="AL10" i="8"/>
  <c r="AY10" i="8" s="1"/>
  <c r="AY9" i="8"/>
  <c r="BI8" i="8"/>
  <c r="AH10" i="8"/>
  <c r="BU10" i="8" s="1"/>
  <c r="AF10" i="8"/>
  <c r="AW10" i="8" s="1"/>
  <c r="AW9" i="8"/>
  <c r="BT9" i="8"/>
  <c r="AC10" i="8"/>
  <c r="DK10" i="8" s="1"/>
  <c r="AV9" i="8"/>
  <c r="AR9" i="8"/>
  <c r="AE10" i="8"/>
  <c r="BT10" i="8" s="1"/>
  <c r="AK10" i="8"/>
  <c r="AT9" i="8"/>
  <c r="DK9" i="8"/>
  <c r="AQ9" i="8"/>
  <c r="DQ9" i="8"/>
  <c r="AI10" i="8"/>
  <c r="DQ10" i="8" s="1"/>
  <c r="AX9" i="8"/>
  <c r="BS9" i="8"/>
  <c r="BR9" i="8"/>
  <c r="AB10" i="8"/>
  <c r="AM10" i="8"/>
  <c r="AU10" i="8" s="1"/>
  <c r="AP9" i="8"/>
  <c r="DW8" i="8"/>
  <c r="AO8" i="8"/>
  <c r="AN10" i="8"/>
  <c r="BQ10" i="8" s="1"/>
  <c r="CI10" i="8" s="1"/>
  <c r="DI10" i="8" s="1"/>
  <c r="DL10" i="8" s="1"/>
  <c r="DO10" i="8" s="1"/>
  <c r="DR10" i="8" s="1"/>
  <c r="DU10" i="8" s="1"/>
  <c r="AD10" i="8"/>
  <c r="AG10" i="8" s="1"/>
  <c r="AJ10" i="8" s="1"/>
  <c r="Y11" i="8"/>
  <c r="S11" i="8"/>
  <c r="Q12" i="8"/>
  <c r="R11" i="8"/>
  <c r="AA11" i="8"/>
  <c r="T11" i="8"/>
  <c r="X11" i="8"/>
  <c r="U11" i="8"/>
  <c r="W11" i="8"/>
  <c r="Z11" i="8"/>
  <c r="V11" i="8"/>
  <c r="BH7" i="8"/>
  <c r="BJ7" i="8" s="1"/>
  <c r="AH11" i="8" l="1"/>
  <c r="BU11" i="8" s="1"/>
  <c r="DT10" i="8"/>
  <c r="AT10" i="8"/>
  <c r="AL11" i="8"/>
  <c r="AY11" i="8" s="1"/>
  <c r="AF11" i="8"/>
  <c r="DN11" i="8" s="1"/>
  <c r="BI9" i="8"/>
  <c r="AC11" i="8"/>
  <c r="DK11" i="8" s="1"/>
  <c r="DN10" i="8"/>
  <c r="BV10" i="8"/>
  <c r="AV10" i="8"/>
  <c r="AQ10" i="8"/>
  <c r="AR10" i="8"/>
  <c r="AE11" i="8"/>
  <c r="AK11" i="8"/>
  <c r="AB11" i="8"/>
  <c r="AS10" i="8"/>
  <c r="BR10" i="8"/>
  <c r="AX10" i="8"/>
  <c r="AI11" i="8"/>
  <c r="DQ11" i="8" s="1"/>
  <c r="AO9" i="8"/>
  <c r="BH8" i="8"/>
  <c r="BJ8" i="8" s="1"/>
  <c r="BS10" i="8"/>
  <c r="DW9" i="8"/>
  <c r="AM11" i="8"/>
  <c r="AU11" i="8" s="1"/>
  <c r="AP10" i="8"/>
  <c r="AN11" i="8"/>
  <c r="BQ11" i="8" s="1"/>
  <c r="CI11" i="8" s="1"/>
  <c r="DI11" i="8" s="1"/>
  <c r="DL11" i="8" s="1"/>
  <c r="DO11" i="8" s="1"/>
  <c r="DR11" i="8" s="1"/>
  <c r="DU11" i="8" s="1"/>
  <c r="AD11" i="8"/>
  <c r="AG11" i="8" s="1"/>
  <c r="AJ11" i="8" s="1"/>
  <c r="R12" i="8"/>
  <c r="V12" i="8"/>
  <c r="Q13" i="8"/>
  <c r="W12" i="8"/>
  <c r="AA12" i="8"/>
  <c r="X12" i="8"/>
  <c r="Z12" i="8"/>
  <c r="T12" i="8"/>
  <c r="Y12" i="8"/>
  <c r="U12" i="8"/>
  <c r="S12" i="8"/>
  <c r="AH12" i="8" l="1"/>
  <c r="BU12" i="8" s="1"/>
  <c r="AL12" i="8"/>
  <c r="DT12" i="8" s="1"/>
  <c r="AT11" i="8"/>
  <c r="DT11" i="8"/>
  <c r="AF12" i="8"/>
  <c r="DN12" i="8" s="1"/>
  <c r="AR11" i="8"/>
  <c r="BI10" i="8"/>
  <c r="AB12" i="8"/>
  <c r="BS12" i="8" s="1"/>
  <c r="AC12" i="8"/>
  <c r="DK12" i="8" s="1"/>
  <c r="AQ11" i="8"/>
  <c r="AV11" i="8"/>
  <c r="AX11" i="8"/>
  <c r="AW11" i="8"/>
  <c r="AK12" i="8"/>
  <c r="BV11" i="8"/>
  <c r="BT11" i="8"/>
  <c r="AE12" i="8"/>
  <c r="BR11" i="8"/>
  <c r="AI12" i="8"/>
  <c r="DQ12" i="8" s="1"/>
  <c r="BS11" i="8"/>
  <c r="AS11" i="8"/>
  <c r="AO10" i="8"/>
  <c r="BH9" i="8"/>
  <c r="BJ9" i="8" s="1"/>
  <c r="AP11" i="8"/>
  <c r="DW10" i="8"/>
  <c r="AM12" i="8"/>
  <c r="AU12" i="8" s="1"/>
  <c r="W13" i="8"/>
  <c r="X13" i="8"/>
  <c r="Q14" i="8"/>
  <c r="U13" i="8"/>
  <c r="T13" i="8"/>
  <c r="AA13" i="8"/>
  <c r="R13" i="8"/>
  <c r="Z13" i="8"/>
  <c r="V13" i="8"/>
  <c r="S13" i="8"/>
  <c r="AC13" i="8" s="1"/>
  <c r="Y13" i="8"/>
  <c r="AY12" i="8"/>
  <c r="AD12" i="8"/>
  <c r="AG12" i="8" s="1"/>
  <c r="AJ12" i="8" s="1"/>
  <c r="AN12" i="8"/>
  <c r="BQ12" i="8" s="1"/>
  <c r="CI12" i="8" s="1"/>
  <c r="DI12" i="8" s="1"/>
  <c r="DL12" i="8" s="1"/>
  <c r="DO12" i="8" s="1"/>
  <c r="DR12" i="8" s="1"/>
  <c r="DU12" i="8" s="1"/>
  <c r="AH13" i="8" l="1"/>
  <c r="BU13" i="8" s="1"/>
  <c r="AT12" i="8"/>
  <c r="AR12" i="8"/>
  <c r="AL13" i="8"/>
  <c r="AY13" i="8" s="1"/>
  <c r="AF13" i="8"/>
  <c r="DN13" i="8" s="1"/>
  <c r="AK13" i="8"/>
  <c r="BV13" i="8" s="1"/>
  <c r="DW11" i="8"/>
  <c r="BI11" i="8"/>
  <c r="AQ12" i="8"/>
  <c r="AB13" i="8"/>
  <c r="AQ13" i="8" s="1"/>
  <c r="AV12" i="8"/>
  <c r="BT12" i="8"/>
  <c r="AE13" i="8"/>
  <c r="BV12" i="8"/>
  <c r="AS12" i="8"/>
  <c r="BR12" i="8"/>
  <c r="AW12" i="8"/>
  <c r="AI13" i="8"/>
  <c r="AX12" i="8"/>
  <c r="AO11" i="8"/>
  <c r="AM13" i="8"/>
  <c r="AU13" i="8" s="1"/>
  <c r="AP12" i="8"/>
  <c r="BI12" i="8" s="1"/>
  <c r="BH10" i="8"/>
  <c r="BJ10" i="8" s="1"/>
  <c r="AD13" i="8"/>
  <c r="AG13" i="8" s="1"/>
  <c r="AJ13" i="8" s="1"/>
  <c r="AN13" i="8"/>
  <c r="BQ13" i="8" s="1"/>
  <c r="CI13" i="8" s="1"/>
  <c r="DI13" i="8" s="1"/>
  <c r="DL13" i="8" s="1"/>
  <c r="DO13" i="8" s="1"/>
  <c r="DR13" i="8" s="1"/>
  <c r="DU13" i="8" s="1"/>
  <c r="Q15" i="8"/>
  <c r="V14" i="8"/>
  <c r="X14" i="8"/>
  <c r="R14" i="8"/>
  <c r="Y14" i="8"/>
  <c r="U14" i="8"/>
  <c r="Z14" i="8"/>
  <c r="S14" i="8"/>
  <c r="AC14" i="8" s="1"/>
  <c r="T14" i="8"/>
  <c r="AA14" i="8"/>
  <c r="W14" i="8"/>
  <c r="DK13" i="8"/>
  <c r="AH14" i="8" l="1"/>
  <c r="BU14" i="8" s="1"/>
  <c r="AS13" i="8"/>
  <c r="AL14" i="8"/>
  <c r="AY14" i="8" s="1"/>
  <c r="AB14" i="8"/>
  <c r="BS14" i="8" s="1"/>
  <c r="DT13" i="8"/>
  <c r="AW13" i="8"/>
  <c r="AR13" i="8"/>
  <c r="AT13" i="8"/>
  <c r="AF14" i="8"/>
  <c r="AW14" i="8" s="1"/>
  <c r="AK14" i="8"/>
  <c r="BT13" i="8"/>
  <c r="AE14" i="8"/>
  <c r="BT14" i="8" s="1"/>
  <c r="AV13" i="8"/>
  <c r="BR13" i="8"/>
  <c r="BS13" i="8"/>
  <c r="AP13" i="8"/>
  <c r="AI14" i="8"/>
  <c r="AX14" i="8" s="1"/>
  <c r="AX13" i="8"/>
  <c r="DQ13" i="8"/>
  <c r="AO12" i="8"/>
  <c r="AM14" i="8"/>
  <c r="AU14" i="8" s="1"/>
  <c r="DW12" i="8"/>
  <c r="BH11" i="8"/>
  <c r="BJ11" i="8" s="1"/>
  <c r="Y15" i="8"/>
  <c r="AL15" i="8" s="1"/>
  <c r="T15" i="8"/>
  <c r="Z15" i="8"/>
  <c r="W15" i="8"/>
  <c r="U15" i="8"/>
  <c r="S15" i="8"/>
  <c r="AC15" i="8" s="1"/>
  <c r="R15" i="8"/>
  <c r="AB15" i="8" s="1"/>
  <c r="Q16" i="8"/>
  <c r="V15" i="8"/>
  <c r="AA15" i="8"/>
  <c r="X15" i="8"/>
  <c r="AD14" i="8"/>
  <c r="AG14" i="8" s="1"/>
  <c r="AJ14" i="8" s="1"/>
  <c r="AN14" i="8"/>
  <c r="BQ14" i="8" s="1"/>
  <c r="CI14" i="8" s="1"/>
  <c r="DI14" i="8" s="1"/>
  <c r="DL14" i="8" s="1"/>
  <c r="DO14" i="8" s="1"/>
  <c r="DR14" i="8" s="1"/>
  <c r="DU14" i="8" s="1"/>
  <c r="DK14" i="8"/>
  <c r="AV14" i="8"/>
  <c r="AH15" i="8" l="1"/>
  <c r="DT14" i="8"/>
  <c r="AQ14" i="8"/>
  <c r="AT14" i="8"/>
  <c r="AE15" i="8"/>
  <c r="BT15" i="8" s="1"/>
  <c r="DN14" i="8"/>
  <c r="AF15" i="8"/>
  <c r="AW15" i="8" s="1"/>
  <c r="BR14" i="8"/>
  <c r="AK15" i="8"/>
  <c r="BV15" i="8" s="1"/>
  <c r="BV14" i="8"/>
  <c r="AR14" i="8"/>
  <c r="AS14" i="8"/>
  <c r="DW13" i="8"/>
  <c r="BI13" i="8"/>
  <c r="DQ14" i="8"/>
  <c r="AO13" i="8"/>
  <c r="AI15" i="8"/>
  <c r="DQ15" i="8" s="1"/>
  <c r="AM15" i="8"/>
  <c r="AU15" i="8" s="1"/>
  <c r="AP14" i="8"/>
  <c r="BH12" i="8"/>
  <c r="BJ12" i="8" s="1"/>
  <c r="AD15" i="8"/>
  <c r="AG15" i="8" s="1"/>
  <c r="AJ15" i="8" s="1"/>
  <c r="AN15" i="8"/>
  <c r="BQ15" i="8" s="1"/>
  <c r="CI15" i="8" s="1"/>
  <c r="DI15" i="8" s="1"/>
  <c r="DL15" i="8" s="1"/>
  <c r="DO15" i="8" s="1"/>
  <c r="DR15" i="8" s="1"/>
  <c r="DU15" i="8" s="1"/>
  <c r="DN15" i="8"/>
  <c r="DK15" i="8"/>
  <c r="AV15" i="8"/>
  <c r="AY15" i="8"/>
  <c r="DT15" i="8"/>
  <c r="U16" i="8"/>
  <c r="AF16" i="8" s="1"/>
  <c r="AA16" i="8"/>
  <c r="X16" i="8"/>
  <c r="T16" i="8"/>
  <c r="AE16" i="8" s="1"/>
  <c r="S16" i="8"/>
  <c r="AC16" i="8" s="1"/>
  <c r="Q17" i="8"/>
  <c r="R16" i="8"/>
  <c r="AB16" i="8" s="1"/>
  <c r="Y16" i="8"/>
  <c r="AL16" i="8" s="1"/>
  <c r="V16" i="8"/>
  <c r="AH16" i="8" s="1"/>
  <c r="Z16" i="8"/>
  <c r="W16" i="8"/>
  <c r="BU15" i="8"/>
  <c r="AQ15" i="8"/>
  <c r="BS15" i="8"/>
  <c r="AR15" i="8" l="1"/>
  <c r="AI16" i="8"/>
  <c r="DQ16" i="8" s="1"/>
  <c r="AK16" i="8"/>
  <c r="BV16" i="8" s="1"/>
  <c r="BR15" i="8"/>
  <c r="AT15" i="8"/>
  <c r="AM16" i="8"/>
  <c r="AU16" i="8" s="1"/>
  <c r="AO14" i="8"/>
  <c r="BI14" i="8"/>
  <c r="AS15" i="8"/>
  <c r="AX15" i="8"/>
  <c r="AP15" i="8"/>
  <c r="DW14" i="8"/>
  <c r="BH13" i="8"/>
  <c r="BJ13" i="8" s="1"/>
  <c r="AV16" i="8"/>
  <c r="DK16" i="8"/>
  <c r="R17" i="8"/>
  <c r="AB17" i="8" s="1"/>
  <c r="Q18" i="8"/>
  <c r="V17" i="8"/>
  <c r="AH17" i="8" s="1"/>
  <c r="AA17" i="8"/>
  <c r="Z17" i="8"/>
  <c r="X17" i="8"/>
  <c r="AK17" i="8" s="1"/>
  <c r="Y17" i="8"/>
  <c r="AL17" i="8" s="1"/>
  <c r="W17" i="8"/>
  <c r="S17" i="8"/>
  <c r="AC17" i="8" s="1"/>
  <c r="T17" i="8"/>
  <c r="AE17" i="8" s="1"/>
  <c r="U17" i="8"/>
  <c r="AF17" i="8" s="1"/>
  <c r="AD16" i="8"/>
  <c r="AG16" i="8" s="1"/>
  <c r="AJ16" i="8" s="1"/>
  <c r="AN16" i="8"/>
  <c r="BQ16" i="8" s="1"/>
  <c r="CI16" i="8" s="1"/>
  <c r="DI16" i="8" s="1"/>
  <c r="DL16" i="8" s="1"/>
  <c r="DO16" i="8" s="1"/>
  <c r="DR16" i="8" s="1"/>
  <c r="DU16" i="8" s="1"/>
  <c r="AW16" i="8"/>
  <c r="DN16" i="8"/>
  <c r="AY16" i="8"/>
  <c r="DT16" i="8"/>
  <c r="BU16" i="8"/>
  <c r="BS16" i="8"/>
  <c r="AQ16" i="8"/>
  <c r="BT16" i="8"/>
  <c r="AR16" i="8"/>
  <c r="AT16" i="8" l="1"/>
  <c r="BR16" i="8"/>
  <c r="AI17" i="8"/>
  <c r="AS17" i="8" s="1"/>
  <c r="AP16" i="8"/>
  <c r="DW16" i="8" s="1"/>
  <c r="AS16" i="8"/>
  <c r="AX16" i="8"/>
  <c r="AM17" i="8"/>
  <c r="AU17" i="8" s="1"/>
  <c r="AO15" i="8"/>
  <c r="BI15" i="8"/>
  <c r="DW15" i="8"/>
  <c r="BH14" i="8"/>
  <c r="BJ14" i="8" s="1"/>
  <c r="Z18" i="8"/>
  <c r="T18" i="8"/>
  <c r="AE18" i="8" s="1"/>
  <c r="Y18" i="8"/>
  <c r="AL18" i="8" s="1"/>
  <c r="S18" i="8"/>
  <c r="AC18" i="8" s="1"/>
  <c r="U18" i="8"/>
  <c r="AF18" i="8" s="1"/>
  <c r="X18" i="8"/>
  <c r="AK18" i="8" s="1"/>
  <c r="Q19" i="8"/>
  <c r="W18" i="8"/>
  <c r="AA18" i="8"/>
  <c r="V18" i="8"/>
  <c r="AH18" i="8" s="1"/>
  <c r="R18" i="8"/>
  <c r="AB18" i="8" s="1"/>
  <c r="AV17" i="8"/>
  <c r="DK17" i="8"/>
  <c r="DQ17" i="8"/>
  <c r="AD17" i="8"/>
  <c r="AG17" i="8" s="1"/>
  <c r="AJ17" i="8" s="1"/>
  <c r="AN17" i="8"/>
  <c r="BQ17" i="8" s="1"/>
  <c r="CI17" i="8" s="1"/>
  <c r="DI17" i="8" s="1"/>
  <c r="DL17" i="8" s="1"/>
  <c r="DO17" i="8" s="1"/>
  <c r="DR17" i="8" s="1"/>
  <c r="DU17" i="8" s="1"/>
  <c r="AY17" i="8"/>
  <c r="DT17" i="8"/>
  <c r="DN17" i="8"/>
  <c r="AW17" i="8"/>
  <c r="BU17" i="8"/>
  <c r="BR17" i="8"/>
  <c r="AQ17" i="8"/>
  <c r="BS17" i="8"/>
  <c r="AT17" i="8"/>
  <c r="BV17" i="8"/>
  <c r="BT17" i="8"/>
  <c r="AR17" i="8"/>
  <c r="AO16" i="8" l="1"/>
  <c r="BI16" i="8"/>
  <c r="AX17" i="8"/>
  <c r="AI18" i="8"/>
  <c r="DQ18" i="8" s="1"/>
  <c r="AM18" i="8"/>
  <c r="AU18" i="8" s="1"/>
  <c r="AP17" i="8"/>
  <c r="DW17" i="8" s="1"/>
  <c r="BH15" i="8"/>
  <c r="BJ15" i="8" s="1"/>
  <c r="DK18" i="8"/>
  <c r="AV18" i="8"/>
  <c r="DT18" i="8"/>
  <c r="AY18" i="8"/>
  <c r="DN18" i="8"/>
  <c r="AW18" i="8"/>
  <c r="AD18" i="8"/>
  <c r="AG18" i="8" s="1"/>
  <c r="AJ18" i="8" s="1"/>
  <c r="AN18" i="8"/>
  <c r="BQ18" i="8" s="1"/>
  <c r="CI18" i="8" s="1"/>
  <c r="DI18" i="8" s="1"/>
  <c r="DL18" i="8" s="1"/>
  <c r="DO18" i="8" s="1"/>
  <c r="DR18" i="8" s="1"/>
  <c r="DU18" i="8" s="1"/>
  <c r="Z19" i="8"/>
  <c r="T19" i="8"/>
  <c r="AE19" i="8" s="1"/>
  <c r="U19" i="8"/>
  <c r="AF19" i="8" s="1"/>
  <c r="S19" i="8"/>
  <c r="AC19" i="8" s="1"/>
  <c r="Y19" i="8"/>
  <c r="AL19" i="8" s="1"/>
  <c r="X19" i="8"/>
  <c r="AK19" i="8" s="1"/>
  <c r="Q20" i="8"/>
  <c r="V19" i="8"/>
  <c r="AH19" i="8" s="1"/>
  <c r="AA19" i="8"/>
  <c r="R19" i="8"/>
  <c r="AB19" i="8" s="1"/>
  <c r="W19" i="8"/>
  <c r="AI19" i="8" s="1"/>
  <c r="AQ18" i="8"/>
  <c r="BR18" i="8"/>
  <c r="BS18" i="8"/>
  <c r="BT18" i="8"/>
  <c r="AR18" i="8"/>
  <c r="AT18" i="8"/>
  <c r="BV18" i="8"/>
  <c r="AS18" i="8"/>
  <c r="BU18" i="8"/>
  <c r="BI17" i="8" l="1"/>
  <c r="AP18" i="8"/>
  <c r="BI18" i="8" s="1"/>
  <c r="AO17" i="8"/>
  <c r="AX18" i="8"/>
  <c r="AM19" i="8"/>
  <c r="AU19" i="8" s="1"/>
  <c r="AO18" i="8"/>
  <c r="BH16" i="8"/>
  <c r="BJ16" i="8" s="1"/>
  <c r="AD19" i="8"/>
  <c r="AG19" i="8" s="1"/>
  <c r="AJ19" i="8" s="1"/>
  <c r="AN19" i="8"/>
  <c r="BQ19" i="8" s="1"/>
  <c r="CI19" i="8" s="1"/>
  <c r="U20" i="8"/>
  <c r="AF20" i="8" s="1"/>
  <c r="S20" i="8"/>
  <c r="AC20" i="8" s="1"/>
  <c r="V20" i="8"/>
  <c r="AH20" i="8" s="1"/>
  <c r="W20" i="8"/>
  <c r="AI20" i="8" s="1"/>
  <c r="Q21" i="8"/>
  <c r="X20" i="8"/>
  <c r="AK20" i="8" s="1"/>
  <c r="AA20" i="8"/>
  <c r="T20" i="8"/>
  <c r="AE20" i="8" s="1"/>
  <c r="Y20" i="8"/>
  <c r="AL20" i="8" s="1"/>
  <c r="R20" i="8"/>
  <c r="AB20" i="8" s="1"/>
  <c r="Z20" i="8"/>
  <c r="DW18" i="8"/>
  <c r="AY19" i="8"/>
  <c r="DT19" i="8"/>
  <c r="AV19" i="8"/>
  <c r="DK19" i="8"/>
  <c r="DQ19" i="8"/>
  <c r="AX19" i="8"/>
  <c r="DN19" i="8"/>
  <c r="AW19" i="8"/>
  <c r="BU19" i="8"/>
  <c r="AS19" i="8"/>
  <c r="BT19" i="8"/>
  <c r="AR19" i="8"/>
  <c r="AQ19" i="8"/>
  <c r="BR19" i="8"/>
  <c r="BS19" i="8"/>
  <c r="AT19" i="8"/>
  <c r="BV19" i="8"/>
  <c r="AM20" i="8" l="1"/>
  <c r="AU20" i="8" s="1"/>
  <c r="AP19" i="8"/>
  <c r="DW19" i="8" s="1"/>
  <c r="BH17" i="8"/>
  <c r="DT20" i="8"/>
  <c r="AY20" i="8"/>
  <c r="DI19" i="8"/>
  <c r="DL19" i="8" s="1"/>
  <c r="DO19" i="8" s="1"/>
  <c r="DR19" i="8" s="1"/>
  <c r="DU19" i="8" s="1"/>
  <c r="AN20" i="8"/>
  <c r="BQ20" i="8" s="1"/>
  <c r="CI20" i="8" s="1"/>
  <c r="AD20" i="8"/>
  <c r="AG20" i="8" s="1"/>
  <c r="AJ20" i="8" s="1"/>
  <c r="DN20" i="8"/>
  <c r="AW20" i="8"/>
  <c r="U21" i="8"/>
  <c r="AF21" i="8" s="1"/>
  <c r="X21" i="8"/>
  <c r="AK21" i="8" s="1"/>
  <c r="V21" i="8"/>
  <c r="AH21" i="8" s="1"/>
  <c r="Z21" i="8"/>
  <c r="AM21" i="8" s="1"/>
  <c r="AU21" i="8" s="1"/>
  <c r="R21" i="8"/>
  <c r="AB21" i="8" s="1"/>
  <c r="Y21" i="8"/>
  <c r="AL21" i="8" s="1"/>
  <c r="W21" i="8"/>
  <c r="AI21" i="8" s="1"/>
  <c r="S21" i="8"/>
  <c r="AC21" i="8" s="1"/>
  <c r="Q22" i="8"/>
  <c r="T21" i="8"/>
  <c r="AE21" i="8" s="1"/>
  <c r="AA21" i="8"/>
  <c r="AV20" i="8"/>
  <c r="DK20" i="8"/>
  <c r="AP20" i="8"/>
  <c r="BI20" i="8" s="1"/>
  <c r="AX20" i="8"/>
  <c r="DQ20" i="8"/>
  <c r="BS20" i="8"/>
  <c r="AQ20" i="8"/>
  <c r="BR20" i="8"/>
  <c r="BT20" i="8"/>
  <c r="AR20" i="8"/>
  <c r="BU20" i="8"/>
  <c r="AS20" i="8"/>
  <c r="BV20" i="8"/>
  <c r="AT20" i="8"/>
  <c r="BI19" i="8" l="1"/>
  <c r="AO19" i="8"/>
  <c r="BJ17" i="8"/>
  <c r="BH18" i="8" s="1"/>
  <c r="DW20" i="8"/>
  <c r="DQ21" i="8"/>
  <c r="AX21" i="8"/>
  <c r="DT21" i="8"/>
  <c r="AY21" i="8"/>
  <c r="DI20" i="8"/>
  <c r="DL20" i="8" s="1"/>
  <c r="DO20" i="8" s="1"/>
  <c r="DR20" i="8" s="1"/>
  <c r="DU20" i="8" s="1"/>
  <c r="AN21" i="8"/>
  <c r="BQ21" i="8" s="1"/>
  <c r="CI21" i="8" s="1"/>
  <c r="AD21" i="8"/>
  <c r="AG21" i="8" s="1"/>
  <c r="AJ21" i="8" s="1"/>
  <c r="DK21" i="8"/>
  <c r="AV21" i="8"/>
  <c r="AP21" i="8"/>
  <c r="BI21" i="8" s="1"/>
  <c r="AO20" i="8"/>
  <c r="AA22" i="8"/>
  <c r="X22" i="8"/>
  <c r="AK22" i="8" s="1"/>
  <c r="Z22" i="8"/>
  <c r="AM22" i="8" s="1"/>
  <c r="AU22" i="8" s="1"/>
  <c r="W22" i="8"/>
  <c r="AI22" i="8" s="1"/>
  <c r="S22" i="8"/>
  <c r="AC22" i="8" s="1"/>
  <c r="Y22" i="8"/>
  <c r="AL22" i="8" s="1"/>
  <c r="R22" i="8"/>
  <c r="AB22" i="8" s="1"/>
  <c r="T22" i="8"/>
  <c r="AE22" i="8" s="1"/>
  <c r="U22" i="8"/>
  <c r="AF22" i="8" s="1"/>
  <c r="Q23" i="8"/>
  <c r="V22" i="8"/>
  <c r="AH22" i="8" s="1"/>
  <c r="AW21" i="8"/>
  <c r="DN21" i="8"/>
  <c r="AR21" i="8"/>
  <c r="BT21" i="8"/>
  <c r="BV21" i="8"/>
  <c r="AT21" i="8"/>
  <c r="BU21" i="8"/>
  <c r="AS21" i="8"/>
  <c r="BR21" i="8"/>
  <c r="AQ21" i="8"/>
  <c r="BS21" i="8"/>
  <c r="BJ18" i="8" l="1"/>
  <c r="BH19" i="8" s="1"/>
  <c r="DW21" i="8"/>
  <c r="AO21" i="8"/>
  <c r="AA23" i="8"/>
  <c r="R23" i="8"/>
  <c r="AB23" i="8" s="1"/>
  <c r="Y23" i="8"/>
  <c r="AL23" i="8" s="1"/>
  <c r="X23" i="8"/>
  <c r="AK23" i="8" s="1"/>
  <c r="Z23" i="8"/>
  <c r="AM23" i="8" s="1"/>
  <c r="AU23" i="8" s="1"/>
  <c r="W23" i="8"/>
  <c r="AI23" i="8" s="1"/>
  <c r="U23" i="8"/>
  <c r="AF23" i="8" s="1"/>
  <c r="S23" i="8"/>
  <c r="AC23" i="8" s="1"/>
  <c r="T23" i="8"/>
  <c r="AE23" i="8" s="1"/>
  <c r="Q24" i="8"/>
  <c r="V23" i="8"/>
  <c r="AH23" i="8" s="1"/>
  <c r="DN22" i="8"/>
  <c r="AW22" i="8"/>
  <c r="AD22" i="8"/>
  <c r="AG22" i="8" s="1"/>
  <c r="AJ22" i="8" s="1"/>
  <c r="AN22" i="8"/>
  <c r="BQ22" i="8" s="1"/>
  <c r="CI22" i="8" s="1"/>
  <c r="DI21" i="8"/>
  <c r="DL21" i="8" s="1"/>
  <c r="DO21" i="8" s="1"/>
  <c r="DR21" i="8" s="1"/>
  <c r="DU21" i="8" s="1"/>
  <c r="AY22" i="8"/>
  <c r="DT22" i="8"/>
  <c r="AP22" i="8"/>
  <c r="BI22" i="8" s="1"/>
  <c r="AV22" i="8"/>
  <c r="DK22" i="8"/>
  <c r="AX22" i="8"/>
  <c r="DQ22" i="8"/>
  <c r="BU22" i="8"/>
  <c r="AS22" i="8"/>
  <c r="BT22" i="8"/>
  <c r="AR22" i="8"/>
  <c r="BR22" i="8"/>
  <c r="BS22" i="8"/>
  <c r="AQ22" i="8"/>
  <c r="BV22" i="8"/>
  <c r="AT22" i="8"/>
  <c r="BJ19" i="8" l="1"/>
  <c r="BH20" i="8" s="1"/>
  <c r="DT23" i="8"/>
  <c r="AY23" i="8"/>
  <c r="W24" i="8"/>
  <c r="AI24" i="8" s="1"/>
  <c r="U24" i="8"/>
  <c r="AF24" i="8" s="1"/>
  <c r="X24" i="8"/>
  <c r="AK24" i="8" s="1"/>
  <c r="S24" i="8"/>
  <c r="AC24" i="8" s="1"/>
  <c r="Z24" i="8"/>
  <c r="AM24" i="8" s="1"/>
  <c r="AU24" i="8" s="1"/>
  <c r="R24" i="8"/>
  <c r="AB24" i="8" s="1"/>
  <c r="Q25" i="8"/>
  <c r="AA24" i="8"/>
  <c r="T24" i="8"/>
  <c r="AE24" i="8" s="1"/>
  <c r="Y24" i="8"/>
  <c r="AL24" i="8" s="1"/>
  <c r="V24" i="8"/>
  <c r="AH24" i="8" s="1"/>
  <c r="AX23" i="8"/>
  <c r="DQ23" i="8"/>
  <c r="AD23" i="8"/>
  <c r="AG23" i="8" s="1"/>
  <c r="AJ23" i="8" s="1"/>
  <c r="AN23" i="8"/>
  <c r="BQ23" i="8" s="1"/>
  <c r="CI23" i="8" s="1"/>
  <c r="AV23" i="8"/>
  <c r="DK23" i="8"/>
  <c r="AP23" i="8"/>
  <c r="BI23" i="8" s="1"/>
  <c r="DW22" i="8"/>
  <c r="DI22" i="8"/>
  <c r="DL22" i="8" s="1"/>
  <c r="DO22" i="8" s="1"/>
  <c r="DR22" i="8" s="1"/>
  <c r="DU22" i="8" s="1"/>
  <c r="AO22" i="8"/>
  <c r="DN23" i="8"/>
  <c r="AW23" i="8"/>
  <c r="AR23" i="8"/>
  <c r="BT23" i="8"/>
  <c r="AT23" i="8"/>
  <c r="BV23" i="8"/>
  <c r="AQ23" i="8"/>
  <c r="BS23" i="8"/>
  <c r="BR23" i="8"/>
  <c r="BU23" i="8"/>
  <c r="AS23" i="8"/>
  <c r="BJ20" i="8" l="1"/>
  <c r="BH21" i="8" s="1"/>
  <c r="AO23" i="8"/>
  <c r="AX24" i="8"/>
  <c r="DQ24" i="8"/>
  <c r="DW23" i="8"/>
  <c r="AN24" i="8"/>
  <c r="BQ24" i="8" s="1"/>
  <c r="CI24" i="8" s="1"/>
  <c r="AD24" i="8"/>
  <c r="AG24" i="8" s="1"/>
  <c r="AJ24" i="8" s="1"/>
  <c r="Y25" i="8"/>
  <c r="AL25" i="8" s="1"/>
  <c r="U25" i="8"/>
  <c r="AF25" i="8" s="1"/>
  <c r="R25" i="8"/>
  <c r="AB25" i="8" s="1"/>
  <c r="W25" i="8"/>
  <c r="AI25" i="8" s="1"/>
  <c r="T25" i="8"/>
  <c r="AE25" i="8" s="1"/>
  <c r="S25" i="8"/>
  <c r="AC25" i="8" s="1"/>
  <c r="Z25" i="8"/>
  <c r="AM25" i="8" s="1"/>
  <c r="AU25" i="8" s="1"/>
  <c r="Q26" i="8"/>
  <c r="V25" i="8"/>
  <c r="AH25" i="8" s="1"/>
  <c r="AA25" i="8"/>
  <c r="X25" i="8"/>
  <c r="AK25" i="8" s="1"/>
  <c r="DI23" i="8"/>
  <c r="DL23" i="8" s="1"/>
  <c r="DO23" i="8" s="1"/>
  <c r="DR23" i="8" s="1"/>
  <c r="DU23" i="8" s="1"/>
  <c r="AP24" i="8"/>
  <c r="DK24" i="8"/>
  <c r="AV24" i="8"/>
  <c r="DT24" i="8"/>
  <c r="AY24" i="8"/>
  <c r="AW24" i="8"/>
  <c r="DN24" i="8"/>
  <c r="BV24" i="8"/>
  <c r="AT24" i="8"/>
  <c r="BR24" i="8"/>
  <c r="BS24" i="8"/>
  <c r="AQ24" i="8"/>
  <c r="AS24" i="8"/>
  <c r="BU24" i="8"/>
  <c r="BT24" i="8"/>
  <c r="AR24" i="8"/>
  <c r="BI24" i="8" l="1"/>
  <c r="BJ21" i="8"/>
  <c r="BH22" i="8" s="1"/>
  <c r="DW24" i="8"/>
  <c r="AO24" i="8"/>
  <c r="AX25" i="8"/>
  <c r="DQ25" i="8"/>
  <c r="AD25" i="8"/>
  <c r="AG25" i="8" s="1"/>
  <c r="AJ25" i="8" s="1"/>
  <c r="AN25" i="8"/>
  <c r="BQ25" i="8" s="1"/>
  <c r="CI25" i="8" s="1"/>
  <c r="DN25" i="8"/>
  <c r="AW25" i="8"/>
  <c r="DT25" i="8"/>
  <c r="AY25" i="8"/>
  <c r="AA26" i="8"/>
  <c r="T26" i="8"/>
  <c r="AE26" i="8" s="1"/>
  <c r="V26" i="8"/>
  <c r="AH26" i="8" s="1"/>
  <c r="Z26" i="8"/>
  <c r="AM26" i="8" s="1"/>
  <c r="AU26" i="8" s="1"/>
  <c r="W26" i="8"/>
  <c r="AI26" i="8" s="1"/>
  <c r="X26" i="8"/>
  <c r="AK26" i="8" s="1"/>
  <c r="Y26" i="8"/>
  <c r="AL26" i="8" s="1"/>
  <c r="S26" i="8"/>
  <c r="AC26" i="8" s="1"/>
  <c r="U26" i="8"/>
  <c r="AF26" i="8" s="1"/>
  <c r="R26" i="8"/>
  <c r="AB26" i="8" s="1"/>
  <c r="Q27" i="8"/>
  <c r="DK25" i="8"/>
  <c r="AP25" i="8"/>
  <c r="BI25" i="8" s="1"/>
  <c r="AV25" i="8"/>
  <c r="DI24" i="8"/>
  <c r="DL24" i="8" s="1"/>
  <c r="DO24" i="8" s="1"/>
  <c r="DR24" i="8" s="1"/>
  <c r="DU24" i="8" s="1"/>
  <c r="AR25" i="8"/>
  <c r="BT25" i="8"/>
  <c r="BU25" i="8"/>
  <c r="AS25" i="8"/>
  <c r="BV25" i="8"/>
  <c r="AT25" i="8"/>
  <c r="BS25" i="8"/>
  <c r="AQ25" i="8"/>
  <c r="BR25" i="8"/>
  <c r="BJ22" i="8" l="1"/>
  <c r="BH23" i="8" s="1"/>
  <c r="AO25" i="8"/>
  <c r="DN26" i="8"/>
  <c r="AW26" i="8"/>
  <c r="W27" i="8"/>
  <c r="AI27" i="8" s="1"/>
  <c r="R27" i="8"/>
  <c r="AB27" i="8" s="1"/>
  <c r="S27" i="8"/>
  <c r="AC27" i="8" s="1"/>
  <c r="U27" i="8"/>
  <c r="AF27" i="8" s="1"/>
  <c r="Q28" i="8"/>
  <c r="V27" i="8"/>
  <c r="AH27" i="8" s="1"/>
  <c r="Y27" i="8"/>
  <c r="AL27" i="8" s="1"/>
  <c r="T27" i="8"/>
  <c r="AE27" i="8" s="1"/>
  <c r="AA27" i="8"/>
  <c r="X27" i="8"/>
  <c r="AK27" i="8" s="1"/>
  <c r="Z27" i="8"/>
  <c r="AM27" i="8" s="1"/>
  <c r="AU27" i="8" s="1"/>
  <c r="DI25" i="8"/>
  <c r="DL25" i="8" s="1"/>
  <c r="DO25" i="8" s="1"/>
  <c r="DR25" i="8" s="1"/>
  <c r="DU25" i="8" s="1"/>
  <c r="DW25" i="8"/>
  <c r="AD26" i="8"/>
  <c r="AG26" i="8" s="1"/>
  <c r="AJ26" i="8" s="1"/>
  <c r="AN26" i="8"/>
  <c r="BQ26" i="8" s="1"/>
  <c r="CI26" i="8" s="1"/>
  <c r="DQ26" i="8"/>
  <c r="AX26" i="8"/>
  <c r="DK26" i="8"/>
  <c r="AP26" i="8"/>
  <c r="AV26" i="8"/>
  <c r="AY26" i="8"/>
  <c r="DT26" i="8"/>
  <c r="AS26" i="8"/>
  <c r="BU26" i="8"/>
  <c r="AR26" i="8"/>
  <c r="BT26" i="8"/>
  <c r="AT26" i="8"/>
  <c r="BV26" i="8"/>
  <c r="BS26" i="8"/>
  <c r="BR26" i="8"/>
  <c r="AQ26" i="8"/>
  <c r="BI26" i="8" l="1"/>
  <c r="BJ23" i="8"/>
  <c r="BH24" i="8" s="1"/>
  <c r="AO26" i="8"/>
  <c r="DN27" i="8"/>
  <c r="AW27" i="8"/>
  <c r="AV27" i="8"/>
  <c r="AP27" i="8"/>
  <c r="DK27" i="8"/>
  <c r="DW26" i="8"/>
  <c r="W28" i="8"/>
  <c r="AI28" i="8" s="1"/>
  <c r="Y28" i="8"/>
  <c r="AL28" i="8" s="1"/>
  <c r="U28" i="8"/>
  <c r="AF28" i="8" s="1"/>
  <c r="S28" i="8"/>
  <c r="AC28" i="8" s="1"/>
  <c r="T28" i="8"/>
  <c r="AE28" i="8" s="1"/>
  <c r="V28" i="8"/>
  <c r="AH28" i="8" s="1"/>
  <c r="X28" i="8"/>
  <c r="AK28" i="8" s="1"/>
  <c r="AA28" i="8"/>
  <c r="R28" i="8"/>
  <c r="AB28" i="8" s="1"/>
  <c r="Q29" i="8"/>
  <c r="Z28" i="8"/>
  <c r="AM28" i="8" s="1"/>
  <c r="AU28" i="8" s="1"/>
  <c r="AN27" i="8"/>
  <c r="BQ27" i="8" s="1"/>
  <c r="CI27" i="8" s="1"/>
  <c r="AD27" i="8"/>
  <c r="AG27" i="8" s="1"/>
  <c r="AJ27" i="8" s="1"/>
  <c r="DQ27" i="8"/>
  <c r="AX27" i="8"/>
  <c r="DI26" i="8"/>
  <c r="DL26" i="8" s="1"/>
  <c r="DO26" i="8" s="1"/>
  <c r="DR26" i="8" s="1"/>
  <c r="DU26" i="8" s="1"/>
  <c r="DT27" i="8"/>
  <c r="AY27" i="8"/>
  <c r="BT27" i="8"/>
  <c r="AR27" i="8"/>
  <c r="BR27" i="8"/>
  <c r="BS27" i="8"/>
  <c r="AQ27" i="8"/>
  <c r="BU27" i="8"/>
  <c r="AS27" i="8"/>
  <c r="BV27" i="8"/>
  <c r="AT27" i="8"/>
  <c r="AO27" i="8" l="1"/>
  <c r="BI27" i="8"/>
  <c r="BJ24" i="8"/>
  <c r="BH25" i="8" s="1"/>
  <c r="AN28" i="8"/>
  <c r="BQ28" i="8" s="1"/>
  <c r="CI28" i="8" s="1"/>
  <c r="AD28" i="8"/>
  <c r="AG28" i="8" s="1"/>
  <c r="AJ28" i="8" s="1"/>
  <c r="DI27" i="8"/>
  <c r="DL27" i="8" s="1"/>
  <c r="DO27" i="8" s="1"/>
  <c r="DR27" i="8" s="1"/>
  <c r="DU27" i="8" s="1"/>
  <c r="AV28" i="8"/>
  <c r="DK28" i="8"/>
  <c r="AP28" i="8"/>
  <c r="DW27" i="8"/>
  <c r="DN28" i="8"/>
  <c r="AW28" i="8"/>
  <c r="AA29" i="8"/>
  <c r="R29" i="8"/>
  <c r="AB29" i="8" s="1"/>
  <c r="Q30" i="8"/>
  <c r="T29" i="8"/>
  <c r="AE29" i="8" s="1"/>
  <c r="U29" i="8"/>
  <c r="AF29" i="8" s="1"/>
  <c r="V29" i="8"/>
  <c r="AH29" i="8" s="1"/>
  <c r="W29" i="8"/>
  <c r="AI29" i="8" s="1"/>
  <c r="S29" i="8"/>
  <c r="AC29" i="8" s="1"/>
  <c r="Z29" i="8"/>
  <c r="AM29" i="8" s="1"/>
  <c r="AU29" i="8" s="1"/>
  <c r="X29" i="8"/>
  <c r="AK29" i="8" s="1"/>
  <c r="Y29" i="8"/>
  <c r="AL29" i="8" s="1"/>
  <c r="DT28" i="8"/>
  <c r="AY28" i="8"/>
  <c r="DQ28" i="8"/>
  <c r="AX28" i="8"/>
  <c r="BU28" i="8"/>
  <c r="AS28" i="8"/>
  <c r="AQ28" i="8"/>
  <c r="BR28" i="8"/>
  <c r="BS28" i="8"/>
  <c r="AT28" i="8"/>
  <c r="BV28" i="8"/>
  <c r="AR28" i="8"/>
  <c r="BT28" i="8"/>
  <c r="BI28" i="8" l="1"/>
  <c r="BJ25" i="8"/>
  <c r="BH26" i="8" s="1"/>
  <c r="DW28" i="8"/>
  <c r="AN29" i="8"/>
  <c r="BQ29" i="8" s="1"/>
  <c r="CI29" i="8" s="1"/>
  <c r="AD29" i="8"/>
  <c r="AG29" i="8" s="1"/>
  <c r="AJ29" i="8" s="1"/>
  <c r="Z30" i="8"/>
  <c r="AM30" i="8" s="1"/>
  <c r="AU30" i="8" s="1"/>
  <c r="W30" i="8"/>
  <c r="AI30" i="8" s="1"/>
  <c r="Y30" i="8"/>
  <c r="AL30" i="8" s="1"/>
  <c r="AA30" i="8"/>
  <c r="U30" i="8"/>
  <c r="AF30" i="8" s="1"/>
  <c r="S30" i="8"/>
  <c r="AC30" i="8" s="1"/>
  <c r="T30" i="8"/>
  <c r="AE30" i="8" s="1"/>
  <c r="R30" i="8"/>
  <c r="AB30" i="8" s="1"/>
  <c r="X30" i="8"/>
  <c r="AK30" i="8" s="1"/>
  <c r="Q31" i="8"/>
  <c r="V30" i="8"/>
  <c r="AH30" i="8" s="1"/>
  <c r="AY29" i="8"/>
  <c r="DT29" i="8"/>
  <c r="AX29" i="8"/>
  <c r="DQ29" i="8"/>
  <c r="AP29" i="8"/>
  <c r="BI29" i="8" s="1"/>
  <c r="DK29" i="8"/>
  <c r="AV29" i="8"/>
  <c r="AO28" i="8"/>
  <c r="AW29" i="8"/>
  <c r="DN29" i="8"/>
  <c r="DI28" i="8"/>
  <c r="DL28" i="8" s="1"/>
  <c r="DO28" i="8" s="1"/>
  <c r="DR28" i="8" s="1"/>
  <c r="DU28" i="8" s="1"/>
  <c r="BT29" i="8"/>
  <c r="AR29" i="8"/>
  <c r="AT29" i="8"/>
  <c r="BV29" i="8"/>
  <c r="AS29" i="8"/>
  <c r="BU29" i="8"/>
  <c r="BR29" i="8"/>
  <c r="AQ29" i="8"/>
  <c r="BS29" i="8"/>
  <c r="BJ26" i="8" l="1"/>
  <c r="BH27" i="8" s="1"/>
  <c r="AO29" i="8"/>
  <c r="DT30" i="8"/>
  <c r="AY30" i="8"/>
  <c r="DI29" i="8"/>
  <c r="DL29" i="8" s="1"/>
  <c r="DO29" i="8" s="1"/>
  <c r="DR29" i="8" s="1"/>
  <c r="DU29" i="8" s="1"/>
  <c r="AX30" i="8"/>
  <c r="DQ30" i="8"/>
  <c r="AV30" i="8"/>
  <c r="DK30" i="8"/>
  <c r="AP30" i="8"/>
  <c r="BI30" i="8" s="1"/>
  <c r="DW29" i="8"/>
  <c r="AW30" i="8"/>
  <c r="DN30" i="8"/>
  <c r="Y31" i="8"/>
  <c r="AL31" i="8" s="1"/>
  <c r="Q32" i="8"/>
  <c r="R31" i="8"/>
  <c r="AB31" i="8" s="1"/>
  <c r="W31" i="8"/>
  <c r="AI31" i="8" s="1"/>
  <c r="S31" i="8"/>
  <c r="AC31" i="8" s="1"/>
  <c r="U31" i="8"/>
  <c r="AF31" i="8" s="1"/>
  <c r="X31" i="8"/>
  <c r="AK31" i="8" s="1"/>
  <c r="AA31" i="8"/>
  <c r="T31" i="8"/>
  <c r="AE31" i="8" s="1"/>
  <c r="V31" i="8"/>
  <c r="AH31" i="8" s="1"/>
  <c r="Z31" i="8"/>
  <c r="AM31" i="8" s="1"/>
  <c r="AU31" i="8" s="1"/>
  <c r="AD30" i="8"/>
  <c r="AG30" i="8" s="1"/>
  <c r="AJ30" i="8" s="1"/>
  <c r="AN30" i="8"/>
  <c r="BQ30" i="8" s="1"/>
  <c r="CI30" i="8" s="1"/>
  <c r="AT30" i="8"/>
  <c r="BV30" i="8"/>
  <c r="AQ30" i="8"/>
  <c r="BS30" i="8"/>
  <c r="BR30" i="8"/>
  <c r="AR30" i="8"/>
  <c r="BT30" i="8"/>
  <c r="BU30" i="8"/>
  <c r="AS30" i="8"/>
  <c r="BJ27" i="8" l="1"/>
  <c r="BH28" i="8" s="1"/>
  <c r="DW30" i="8"/>
  <c r="AO30" i="8"/>
  <c r="DT31" i="8"/>
  <c r="AY31" i="8"/>
  <c r="AD31" i="8"/>
  <c r="AG31" i="8" s="1"/>
  <c r="AJ31" i="8" s="1"/>
  <c r="AN31" i="8"/>
  <c r="BQ31" i="8" s="1"/>
  <c r="CI31" i="8" s="1"/>
  <c r="DI30" i="8"/>
  <c r="DL30" i="8" s="1"/>
  <c r="DO30" i="8" s="1"/>
  <c r="DR30" i="8" s="1"/>
  <c r="DU30" i="8" s="1"/>
  <c r="AW31" i="8"/>
  <c r="DN31" i="8"/>
  <c r="DK31" i="8"/>
  <c r="AV31" i="8"/>
  <c r="AP31" i="8"/>
  <c r="BI31" i="8" s="1"/>
  <c r="AX31" i="8"/>
  <c r="DQ31" i="8"/>
  <c r="R32" i="8"/>
  <c r="AB32" i="8" s="1"/>
  <c r="Q33" i="8"/>
  <c r="X32" i="8"/>
  <c r="AK32" i="8" s="1"/>
  <c r="AA32" i="8"/>
  <c r="V32" i="8"/>
  <c r="AH32" i="8" s="1"/>
  <c r="Y32" i="8"/>
  <c r="AL32" i="8" s="1"/>
  <c r="T32" i="8"/>
  <c r="AE32" i="8" s="1"/>
  <c r="W32" i="8"/>
  <c r="AI32" i="8" s="1"/>
  <c r="U32" i="8"/>
  <c r="AF32" i="8" s="1"/>
  <c r="Z32" i="8"/>
  <c r="AM32" i="8" s="1"/>
  <c r="AU32" i="8" s="1"/>
  <c r="S32" i="8"/>
  <c r="AC32" i="8" s="1"/>
  <c r="BS31" i="8"/>
  <c r="BR31" i="8"/>
  <c r="AQ31" i="8"/>
  <c r="BV31" i="8"/>
  <c r="AT31" i="8"/>
  <c r="BU31" i="8"/>
  <c r="AS31" i="8"/>
  <c r="BT31" i="8"/>
  <c r="AR31" i="8"/>
  <c r="BJ28" i="8" l="1"/>
  <c r="BH29" i="8" s="1"/>
  <c r="AO31" i="8"/>
  <c r="U33" i="8"/>
  <c r="AF33" i="8" s="1"/>
  <c r="R33" i="8"/>
  <c r="AB33" i="8" s="1"/>
  <c r="S33" i="8"/>
  <c r="AC33" i="8" s="1"/>
  <c r="Y33" i="8"/>
  <c r="AL33" i="8" s="1"/>
  <c r="Q34" i="8"/>
  <c r="T33" i="8"/>
  <c r="AE33" i="8" s="1"/>
  <c r="AA33" i="8"/>
  <c r="X33" i="8"/>
  <c r="AK33" i="8" s="1"/>
  <c r="Z33" i="8"/>
  <c r="AM33" i="8" s="1"/>
  <c r="AU33" i="8" s="1"/>
  <c r="V33" i="8"/>
  <c r="AH33" i="8" s="1"/>
  <c r="W33" i="8"/>
  <c r="AI33" i="8" s="1"/>
  <c r="DN32" i="8"/>
  <c r="AW32" i="8"/>
  <c r="DT32" i="8"/>
  <c r="AY32" i="8"/>
  <c r="DI31" i="8"/>
  <c r="DL31" i="8" s="1"/>
  <c r="DO31" i="8" s="1"/>
  <c r="DR31" i="8" s="1"/>
  <c r="DU31" i="8" s="1"/>
  <c r="DW31" i="8"/>
  <c r="DQ32" i="8"/>
  <c r="AX32" i="8"/>
  <c r="AD32" i="8"/>
  <c r="AG32" i="8" s="1"/>
  <c r="AJ32" i="8" s="1"/>
  <c r="AN32" i="8"/>
  <c r="BQ32" i="8" s="1"/>
  <c r="CI32" i="8" s="1"/>
  <c r="DK32" i="8"/>
  <c r="AP32" i="8"/>
  <c r="BI32" i="8" s="1"/>
  <c r="AV32" i="8"/>
  <c r="BV32" i="8"/>
  <c r="AT32" i="8"/>
  <c r="AR32" i="8"/>
  <c r="BT32" i="8"/>
  <c r="BR32" i="8"/>
  <c r="AQ32" i="8"/>
  <c r="BS32" i="8"/>
  <c r="AS32" i="8"/>
  <c r="BU32" i="8"/>
  <c r="BJ29" i="8" l="1"/>
  <c r="BH30" i="8" s="1"/>
  <c r="AO32" i="8"/>
  <c r="AD33" i="8"/>
  <c r="AG33" i="8" s="1"/>
  <c r="AJ33" i="8" s="1"/>
  <c r="AN33" i="8"/>
  <c r="BQ33" i="8" s="1"/>
  <c r="CI33" i="8" s="1"/>
  <c r="S34" i="8"/>
  <c r="AC34" i="8" s="1"/>
  <c r="U34" i="8"/>
  <c r="AF34" i="8" s="1"/>
  <c r="V34" i="8"/>
  <c r="AH34" i="8" s="1"/>
  <c r="AA34" i="8"/>
  <c r="R34" i="8"/>
  <c r="AB34" i="8" s="1"/>
  <c r="Q35" i="8"/>
  <c r="X34" i="8"/>
  <c r="AK34" i="8" s="1"/>
  <c r="Z34" i="8"/>
  <c r="AM34" i="8" s="1"/>
  <c r="AU34" i="8" s="1"/>
  <c r="T34" i="8"/>
  <c r="AE34" i="8" s="1"/>
  <c r="W34" i="8"/>
  <c r="AI34" i="8" s="1"/>
  <c r="Y34" i="8"/>
  <c r="AL34" i="8" s="1"/>
  <c r="DT33" i="8"/>
  <c r="AY33" i="8"/>
  <c r="DW32" i="8"/>
  <c r="AX33" i="8"/>
  <c r="DQ33" i="8"/>
  <c r="AV33" i="8"/>
  <c r="AP33" i="8"/>
  <c r="DK33" i="8"/>
  <c r="DI32" i="8"/>
  <c r="DL32" i="8" s="1"/>
  <c r="DO32" i="8" s="1"/>
  <c r="DR32" i="8" s="1"/>
  <c r="DU32" i="8" s="1"/>
  <c r="DN33" i="8"/>
  <c r="AW33" i="8"/>
  <c r="BU33" i="8"/>
  <c r="AS33" i="8"/>
  <c r="BS33" i="8"/>
  <c r="BR33" i="8"/>
  <c r="AQ33" i="8"/>
  <c r="BV33" i="8"/>
  <c r="AT33" i="8"/>
  <c r="BT33" i="8"/>
  <c r="AR33" i="8"/>
  <c r="BI33" i="8" l="1"/>
  <c r="BJ30" i="8"/>
  <c r="BH31" i="8" s="1"/>
  <c r="AW34" i="8"/>
  <c r="DN34" i="8"/>
  <c r="AX34" i="8"/>
  <c r="DQ34" i="8"/>
  <c r="X35" i="8"/>
  <c r="AK35" i="8" s="1"/>
  <c r="Z35" i="8"/>
  <c r="AM35" i="8" s="1"/>
  <c r="AU35" i="8" s="1"/>
  <c r="AA35" i="8"/>
  <c r="V35" i="8"/>
  <c r="AH35" i="8" s="1"/>
  <c r="T35" i="8"/>
  <c r="AE35" i="8" s="1"/>
  <c r="Q36" i="8"/>
  <c r="R35" i="8"/>
  <c r="AB35" i="8" s="1"/>
  <c r="Y35" i="8"/>
  <c r="AL35" i="8" s="1"/>
  <c r="W35" i="8"/>
  <c r="AI35" i="8" s="1"/>
  <c r="U35" i="8"/>
  <c r="AF35" i="8" s="1"/>
  <c r="S35" i="8"/>
  <c r="AC35" i="8" s="1"/>
  <c r="DI33" i="8"/>
  <c r="DL33" i="8" s="1"/>
  <c r="DO33" i="8" s="1"/>
  <c r="DR33" i="8" s="1"/>
  <c r="DU33" i="8" s="1"/>
  <c r="AO33" i="8"/>
  <c r="AD34" i="8"/>
  <c r="AG34" i="8" s="1"/>
  <c r="AJ34" i="8" s="1"/>
  <c r="AN34" i="8"/>
  <c r="BQ34" i="8" s="1"/>
  <c r="CI34" i="8" s="1"/>
  <c r="AV34" i="8"/>
  <c r="DK34" i="8"/>
  <c r="AP34" i="8"/>
  <c r="DW33" i="8"/>
  <c r="AY34" i="8"/>
  <c r="DT34" i="8"/>
  <c r="BR34" i="8"/>
  <c r="AQ34" i="8"/>
  <c r="BS34" i="8"/>
  <c r="AR34" i="8"/>
  <c r="BT34" i="8"/>
  <c r="AS34" i="8"/>
  <c r="BU34" i="8"/>
  <c r="AT34" i="8"/>
  <c r="BV34" i="8"/>
  <c r="BI34" i="8" l="1"/>
  <c r="BJ31" i="8"/>
  <c r="BH32" i="8" s="1"/>
  <c r="AO34" i="8"/>
  <c r="AN35" i="8"/>
  <c r="BQ35" i="8" s="1"/>
  <c r="CI35" i="8" s="1"/>
  <c r="AD35" i="8"/>
  <c r="AG35" i="8" s="1"/>
  <c r="AJ35" i="8" s="1"/>
  <c r="AW35" i="8"/>
  <c r="DN35" i="8"/>
  <c r="DQ35" i="8"/>
  <c r="AX35" i="8"/>
  <c r="DI34" i="8"/>
  <c r="DL34" i="8" s="1"/>
  <c r="DO34" i="8" s="1"/>
  <c r="DR34" i="8" s="1"/>
  <c r="DU34" i="8" s="1"/>
  <c r="DT35" i="8"/>
  <c r="AY35" i="8"/>
  <c r="S36" i="8"/>
  <c r="AC36" i="8" s="1"/>
  <c r="W36" i="8"/>
  <c r="AI36" i="8" s="1"/>
  <c r="R36" i="8"/>
  <c r="AB36" i="8" s="1"/>
  <c r="Q37" i="8"/>
  <c r="X36" i="8"/>
  <c r="AK36" i="8" s="1"/>
  <c r="Z36" i="8"/>
  <c r="AM36" i="8" s="1"/>
  <c r="AU36" i="8" s="1"/>
  <c r="AA36" i="8"/>
  <c r="T36" i="8"/>
  <c r="AE36" i="8" s="1"/>
  <c r="V36" i="8"/>
  <c r="AH36" i="8" s="1"/>
  <c r="Y36" i="8"/>
  <c r="AL36" i="8" s="1"/>
  <c r="U36" i="8"/>
  <c r="AF36" i="8" s="1"/>
  <c r="AV35" i="8"/>
  <c r="AP35" i="8"/>
  <c r="DK35" i="8"/>
  <c r="DW34" i="8"/>
  <c r="AT35" i="8"/>
  <c r="BV35" i="8"/>
  <c r="BT35" i="8"/>
  <c r="AR35" i="8"/>
  <c r="AS35" i="8"/>
  <c r="BU35" i="8"/>
  <c r="BR35" i="8"/>
  <c r="AQ35" i="8"/>
  <c r="BS35" i="8"/>
  <c r="BI35" i="8" l="1"/>
  <c r="BJ32" i="8"/>
  <c r="BH33" i="8" s="1"/>
  <c r="AO35" i="8"/>
  <c r="Y37" i="8"/>
  <c r="AL37" i="8" s="1"/>
  <c r="U37" i="8"/>
  <c r="AF37" i="8" s="1"/>
  <c r="R37" i="8"/>
  <c r="AB37" i="8" s="1"/>
  <c r="V37" i="8"/>
  <c r="AH37" i="8" s="1"/>
  <c r="Q38" i="8"/>
  <c r="X37" i="8"/>
  <c r="AK37" i="8" s="1"/>
  <c r="AA37" i="8"/>
  <c r="Z37" i="8"/>
  <c r="AM37" i="8" s="1"/>
  <c r="AU37" i="8" s="1"/>
  <c r="S37" i="8"/>
  <c r="AC37" i="8" s="1"/>
  <c r="T37" i="8"/>
  <c r="AE37" i="8" s="1"/>
  <c r="W37" i="8"/>
  <c r="AI37" i="8" s="1"/>
  <c r="DN36" i="8"/>
  <c r="AW36" i="8"/>
  <c r="DT36" i="8"/>
  <c r="AY36" i="8"/>
  <c r="AX36" i="8"/>
  <c r="DQ36" i="8"/>
  <c r="DW35" i="8"/>
  <c r="DK36" i="8"/>
  <c r="AV36" i="8"/>
  <c r="AP36" i="8"/>
  <c r="AN36" i="8"/>
  <c r="BQ36" i="8" s="1"/>
  <c r="CI36" i="8" s="1"/>
  <c r="AD36" i="8"/>
  <c r="AG36" i="8" s="1"/>
  <c r="AJ36" i="8" s="1"/>
  <c r="DI35" i="8"/>
  <c r="DL35" i="8" s="1"/>
  <c r="DO35" i="8" s="1"/>
  <c r="DR35" i="8" s="1"/>
  <c r="DU35" i="8" s="1"/>
  <c r="AR36" i="8"/>
  <c r="BT36" i="8"/>
  <c r="BV36" i="8"/>
  <c r="AT36" i="8"/>
  <c r="BR36" i="8"/>
  <c r="BS36" i="8"/>
  <c r="AQ36" i="8"/>
  <c r="AS36" i="8"/>
  <c r="BU36" i="8"/>
  <c r="BI36" i="8" l="1"/>
  <c r="BJ33" i="8"/>
  <c r="BH34" i="8" s="1"/>
  <c r="AO36" i="8"/>
  <c r="DW36" i="8"/>
  <c r="AN37" i="8"/>
  <c r="BQ37" i="8" s="1"/>
  <c r="CI37" i="8" s="1"/>
  <c r="AD37" i="8"/>
  <c r="AG37" i="8" s="1"/>
  <c r="AJ37" i="8" s="1"/>
  <c r="Y38" i="8"/>
  <c r="AL38" i="8" s="1"/>
  <c r="R38" i="8"/>
  <c r="AB38" i="8" s="1"/>
  <c r="Z38" i="8"/>
  <c r="AM38" i="8" s="1"/>
  <c r="AU38" i="8" s="1"/>
  <c r="Q39" i="8"/>
  <c r="AA38" i="8"/>
  <c r="T38" i="8"/>
  <c r="AE38" i="8" s="1"/>
  <c r="X38" i="8"/>
  <c r="AK38" i="8" s="1"/>
  <c r="V38" i="8"/>
  <c r="AH38" i="8" s="1"/>
  <c r="U38" i="8"/>
  <c r="AF38" i="8" s="1"/>
  <c r="S38" i="8"/>
  <c r="AC38" i="8" s="1"/>
  <c r="W38" i="8"/>
  <c r="AI38" i="8" s="1"/>
  <c r="DI36" i="8"/>
  <c r="DL36" i="8" s="1"/>
  <c r="DO36" i="8" s="1"/>
  <c r="DR36" i="8" s="1"/>
  <c r="DU36" i="8" s="1"/>
  <c r="DQ37" i="8"/>
  <c r="AX37" i="8"/>
  <c r="AW37" i="8"/>
  <c r="DN37" i="8"/>
  <c r="AP37" i="8"/>
  <c r="AV37" i="8"/>
  <c r="DK37" i="8"/>
  <c r="DT37" i="8"/>
  <c r="AY37" i="8"/>
  <c r="AR37" i="8"/>
  <c r="BT37" i="8"/>
  <c r="AS37" i="8"/>
  <c r="BU37" i="8"/>
  <c r="BV37" i="8"/>
  <c r="AT37" i="8"/>
  <c r="AQ37" i="8"/>
  <c r="BS37" i="8"/>
  <c r="BR37" i="8"/>
  <c r="BI37" i="8" l="1"/>
  <c r="BJ34" i="8"/>
  <c r="BH35" i="8" s="1"/>
  <c r="AO37" i="8"/>
  <c r="DQ38" i="8"/>
  <c r="AX38" i="8"/>
  <c r="DK38" i="8"/>
  <c r="AP38" i="8"/>
  <c r="BI38" i="8" s="1"/>
  <c r="AV38" i="8"/>
  <c r="DT38" i="8"/>
  <c r="AY38" i="8"/>
  <c r="DI37" i="8"/>
  <c r="DL37" i="8" s="1"/>
  <c r="DO37" i="8" s="1"/>
  <c r="DR37" i="8" s="1"/>
  <c r="DU37" i="8" s="1"/>
  <c r="DW37" i="8"/>
  <c r="AN38" i="8"/>
  <c r="BQ38" i="8" s="1"/>
  <c r="CI38" i="8" s="1"/>
  <c r="AD38" i="8"/>
  <c r="AG38" i="8" s="1"/>
  <c r="AJ38" i="8" s="1"/>
  <c r="AW38" i="8"/>
  <c r="DN38" i="8"/>
  <c r="AA39" i="8"/>
  <c r="X39" i="8"/>
  <c r="AK39" i="8" s="1"/>
  <c r="T39" i="8"/>
  <c r="AE39" i="8" s="1"/>
  <c r="Z39" i="8"/>
  <c r="AM39" i="8" s="1"/>
  <c r="AU39" i="8" s="1"/>
  <c r="V39" i="8"/>
  <c r="AH39" i="8" s="1"/>
  <c r="Q40" i="8"/>
  <c r="Y39" i="8"/>
  <c r="AL39" i="8" s="1"/>
  <c r="R39" i="8"/>
  <c r="AB39" i="8" s="1"/>
  <c r="W39" i="8"/>
  <c r="AI39" i="8" s="1"/>
  <c r="S39" i="8"/>
  <c r="AC39" i="8" s="1"/>
  <c r="U39" i="8"/>
  <c r="AF39" i="8" s="1"/>
  <c r="BT38" i="8"/>
  <c r="AR38" i="8"/>
  <c r="AT38" i="8"/>
  <c r="BV38" i="8"/>
  <c r="AQ38" i="8"/>
  <c r="BS38" i="8"/>
  <c r="BR38" i="8"/>
  <c r="AS38" i="8"/>
  <c r="BU38" i="8"/>
  <c r="AO38" i="8" l="1"/>
  <c r="BJ35" i="8"/>
  <c r="BH36" i="8" s="1"/>
  <c r="DT39" i="8"/>
  <c r="AY39" i="8"/>
  <c r="AA40" i="8"/>
  <c r="T40" i="8"/>
  <c r="AE40" i="8" s="1"/>
  <c r="Z40" i="8"/>
  <c r="AM40" i="8" s="1"/>
  <c r="AU40" i="8" s="1"/>
  <c r="X40" i="8"/>
  <c r="AK40" i="8" s="1"/>
  <c r="Y40" i="8"/>
  <c r="AL40" i="8" s="1"/>
  <c r="S40" i="8"/>
  <c r="AC40" i="8" s="1"/>
  <c r="U40" i="8"/>
  <c r="AF40" i="8" s="1"/>
  <c r="V40" i="8"/>
  <c r="AH40" i="8" s="1"/>
  <c r="Q41" i="8"/>
  <c r="W40" i="8"/>
  <c r="AI40" i="8" s="1"/>
  <c r="R40" i="8"/>
  <c r="AB40" i="8" s="1"/>
  <c r="DI38" i="8"/>
  <c r="DL38" i="8" s="1"/>
  <c r="DO38" i="8" s="1"/>
  <c r="DR38" i="8" s="1"/>
  <c r="DU38" i="8" s="1"/>
  <c r="AW39" i="8"/>
  <c r="DN39" i="8"/>
  <c r="AV39" i="8"/>
  <c r="DK39" i="8"/>
  <c r="AP39" i="8"/>
  <c r="DW38" i="8"/>
  <c r="AX39" i="8"/>
  <c r="DQ39" i="8"/>
  <c r="AN39" i="8"/>
  <c r="BQ39" i="8" s="1"/>
  <c r="CI39" i="8" s="1"/>
  <c r="AD39" i="8"/>
  <c r="AG39" i="8" s="1"/>
  <c r="AJ39" i="8" s="1"/>
  <c r="AR39" i="8"/>
  <c r="BT39" i="8"/>
  <c r="BU39" i="8"/>
  <c r="AS39" i="8"/>
  <c r="AQ39" i="8"/>
  <c r="BR39" i="8"/>
  <c r="BS39" i="8"/>
  <c r="AT39" i="8"/>
  <c r="BV39" i="8"/>
  <c r="BI39" i="8" l="1"/>
  <c r="BJ36" i="8"/>
  <c r="BH37" i="8" s="1"/>
  <c r="DW39" i="8"/>
  <c r="AY40" i="8"/>
  <c r="DT40" i="8"/>
  <c r="AX40" i="8"/>
  <c r="DQ40" i="8"/>
  <c r="R41" i="8"/>
  <c r="AB41" i="8" s="1"/>
  <c r="Q42" i="8"/>
  <c r="V41" i="8"/>
  <c r="AH41" i="8" s="1"/>
  <c r="AA41" i="8"/>
  <c r="T41" i="8"/>
  <c r="AE41" i="8" s="1"/>
  <c r="Z41" i="8"/>
  <c r="AM41" i="8" s="1"/>
  <c r="AU41" i="8" s="1"/>
  <c r="Y41" i="8"/>
  <c r="AL41" i="8" s="1"/>
  <c r="W41" i="8"/>
  <c r="AI41" i="8" s="1"/>
  <c r="S41" i="8"/>
  <c r="AC41" i="8" s="1"/>
  <c r="U41" i="8"/>
  <c r="AF41" i="8" s="1"/>
  <c r="X41" i="8"/>
  <c r="AK41" i="8" s="1"/>
  <c r="AN40" i="8"/>
  <c r="BQ40" i="8" s="1"/>
  <c r="CI40" i="8" s="1"/>
  <c r="AD40" i="8"/>
  <c r="AG40" i="8" s="1"/>
  <c r="AJ40" i="8" s="1"/>
  <c r="AO39" i="8"/>
  <c r="DI39" i="8"/>
  <c r="DL39" i="8" s="1"/>
  <c r="DO39" i="8" s="1"/>
  <c r="DR39" i="8" s="1"/>
  <c r="DU39" i="8" s="1"/>
  <c r="AW40" i="8"/>
  <c r="DN40" i="8"/>
  <c r="DK40" i="8"/>
  <c r="AV40" i="8"/>
  <c r="AP40" i="8"/>
  <c r="BI40" i="8" s="1"/>
  <c r="BV40" i="8"/>
  <c r="AT40" i="8"/>
  <c r="AS40" i="8"/>
  <c r="BU40" i="8"/>
  <c r="BS40" i="8"/>
  <c r="AQ40" i="8"/>
  <c r="BR40" i="8"/>
  <c r="AR40" i="8"/>
  <c r="BT40" i="8"/>
  <c r="BJ37" i="8" l="1"/>
  <c r="BH38" i="8" s="1"/>
  <c r="AO40" i="8"/>
  <c r="AW41" i="8"/>
  <c r="DN41" i="8"/>
  <c r="Z42" i="8"/>
  <c r="AM42" i="8" s="1"/>
  <c r="AU42" i="8" s="1"/>
  <c r="R42" i="8"/>
  <c r="AB42" i="8" s="1"/>
  <c r="Y42" i="8"/>
  <c r="AL42" i="8" s="1"/>
  <c r="W42" i="8"/>
  <c r="AI42" i="8" s="1"/>
  <c r="U42" i="8"/>
  <c r="AF42" i="8" s="1"/>
  <c r="X42" i="8"/>
  <c r="AK42" i="8" s="1"/>
  <c r="S42" i="8"/>
  <c r="AC42" i="8" s="1"/>
  <c r="V42" i="8"/>
  <c r="AH42" i="8" s="1"/>
  <c r="AA42" i="8"/>
  <c r="Q43" i="8"/>
  <c r="T42" i="8"/>
  <c r="AE42" i="8" s="1"/>
  <c r="AV41" i="8"/>
  <c r="AP41" i="8"/>
  <c r="DK41" i="8"/>
  <c r="AX41" i="8"/>
  <c r="DQ41" i="8"/>
  <c r="AY41" i="8"/>
  <c r="DT41" i="8"/>
  <c r="DW40" i="8"/>
  <c r="DI40" i="8"/>
  <c r="DL40" i="8" s="1"/>
  <c r="DO40" i="8" s="1"/>
  <c r="DR40" i="8" s="1"/>
  <c r="DU40" i="8" s="1"/>
  <c r="AN41" i="8"/>
  <c r="BQ41" i="8" s="1"/>
  <c r="CI41" i="8" s="1"/>
  <c r="AD41" i="8"/>
  <c r="AG41" i="8" s="1"/>
  <c r="AJ41" i="8" s="1"/>
  <c r="AS41" i="8"/>
  <c r="BU41" i="8"/>
  <c r="BT41" i="8"/>
  <c r="AR41" i="8"/>
  <c r="AT41" i="8"/>
  <c r="BV41" i="8"/>
  <c r="BR41" i="8"/>
  <c r="AQ41" i="8"/>
  <c r="BS41" i="8"/>
  <c r="BI41" i="8" l="1"/>
  <c r="BJ38" i="8"/>
  <c r="BH39" i="8" s="1"/>
  <c r="DW41" i="8"/>
  <c r="AW42" i="8"/>
  <c r="DN42" i="8"/>
  <c r="AX42" i="8"/>
  <c r="DQ42" i="8"/>
  <c r="DT42" i="8"/>
  <c r="AY42" i="8"/>
  <c r="X43" i="8"/>
  <c r="AK43" i="8" s="1"/>
  <c r="Q44" i="8"/>
  <c r="V43" i="8"/>
  <c r="AH43" i="8" s="1"/>
  <c r="T43" i="8"/>
  <c r="AE43" i="8" s="1"/>
  <c r="Z43" i="8"/>
  <c r="AM43" i="8" s="1"/>
  <c r="AU43" i="8" s="1"/>
  <c r="AA43" i="8"/>
  <c r="Y43" i="8"/>
  <c r="AL43" i="8" s="1"/>
  <c r="R43" i="8"/>
  <c r="AB43" i="8" s="1"/>
  <c r="W43" i="8"/>
  <c r="AI43" i="8" s="1"/>
  <c r="S43" i="8"/>
  <c r="AC43" i="8" s="1"/>
  <c r="U43" i="8"/>
  <c r="AF43" i="8" s="1"/>
  <c r="AD42" i="8"/>
  <c r="AG42" i="8" s="1"/>
  <c r="AJ42" i="8" s="1"/>
  <c r="AN42" i="8"/>
  <c r="BQ42" i="8" s="1"/>
  <c r="CI42" i="8" s="1"/>
  <c r="AP42" i="8"/>
  <c r="BI42" i="8" s="1"/>
  <c r="DK42" i="8"/>
  <c r="AV42" i="8"/>
  <c r="DI41" i="8"/>
  <c r="DL41" i="8" s="1"/>
  <c r="DO41" i="8" s="1"/>
  <c r="DR41" i="8" s="1"/>
  <c r="DU41" i="8" s="1"/>
  <c r="AO41" i="8"/>
  <c r="BT42" i="8"/>
  <c r="AR42" i="8"/>
  <c r="BS42" i="8"/>
  <c r="BR42" i="8"/>
  <c r="AQ42" i="8"/>
  <c r="AS42" i="8"/>
  <c r="BU42" i="8"/>
  <c r="BV42" i="8"/>
  <c r="AT42" i="8"/>
  <c r="BJ39" i="8" l="1"/>
  <c r="BH40" i="8" s="1"/>
  <c r="DW42" i="8"/>
  <c r="DT43" i="8"/>
  <c r="AY43" i="8"/>
  <c r="AO42" i="8"/>
  <c r="AD43" i="8"/>
  <c r="AG43" i="8" s="1"/>
  <c r="AJ43" i="8" s="1"/>
  <c r="AN43" i="8"/>
  <c r="BQ43" i="8" s="1"/>
  <c r="CI43" i="8" s="1"/>
  <c r="DI42" i="8"/>
  <c r="DL42" i="8" s="1"/>
  <c r="DO42" i="8" s="1"/>
  <c r="DR42" i="8" s="1"/>
  <c r="DU42" i="8" s="1"/>
  <c r="AW43" i="8"/>
  <c r="DN43" i="8"/>
  <c r="DK43" i="8"/>
  <c r="AV43" i="8"/>
  <c r="AP43" i="8"/>
  <c r="BI43" i="8" s="1"/>
  <c r="W44" i="8"/>
  <c r="AI44" i="8" s="1"/>
  <c r="Q45" i="8"/>
  <c r="Z44" i="8"/>
  <c r="AM44" i="8" s="1"/>
  <c r="AU44" i="8" s="1"/>
  <c r="Y44" i="8"/>
  <c r="AL44" i="8" s="1"/>
  <c r="U44" i="8"/>
  <c r="AF44" i="8" s="1"/>
  <c r="S44" i="8"/>
  <c r="AC44" i="8" s="1"/>
  <c r="T44" i="8"/>
  <c r="AE44" i="8" s="1"/>
  <c r="X44" i="8"/>
  <c r="AK44" i="8" s="1"/>
  <c r="AA44" i="8"/>
  <c r="V44" i="8"/>
  <c r="AH44" i="8" s="1"/>
  <c r="R44" i="8"/>
  <c r="AB44" i="8" s="1"/>
  <c r="DQ43" i="8"/>
  <c r="AX43" i="8"/>
  <c r="BS43" i="8"/>
  <c r="AQ43" i="8"/>
  <c r="BR43" i="8"/>
  <c r="BV43" i="8"/>
  <c r="AT43" i="8"/>
  <c r="AS43" i="8"/>
  <c r="BU43" i="8"/>
  <c r="AR43" i="8"/>
  <c r="BT43" i="8"/>
  <c r="BJ40" i="8" l="1"/>
  <c r="BH41" i="8" s="1"/>
  <c r="AO43" i="8"/>
  <c r="AD44" i="8"/>
  <c r="AG44" i="8" s="1"/>
  <c r="AJ44" i="8" s="1"/>
  <c r="AN44" i="8"/>
  <c r="BQ44" i="8" s="1"/>
  <c r="CI44" i="8" s="1"/>
  <c r="DQ44" i="8"/>
  <c r="AX44" i="8"/>
  <c r="DI43" i="8"/>
  <c r="DL43" i="8" s="1"/>
  <c r="DO43" i="8" s="1"/>
  <c r="DR43" i="8" s="1"/>
  <c r="DU43" i="8" s="1"/>
  <c r="DW43" i="8"/>
  <c r="DK44" i="8"/>
  <c r="AP44" i="8"/>
  <c r="AV44" i="8"/>
  <c r="DN44" i="8"/>
  <c r="AW44" i="8"/>
  <c r="DT44" i="8"/>
  <c r="AY44" i="8"/>
  <c r="W45" i="8"/>
  <c r="AI45" i="8" s="1"/>
  <c r="S45" i="8"/>
  <c r="AC45" i="8" s="1"/>
  <c r="AA45" i="8"/>
  <c r="R45" i="8"/>
  <c r="AB45" i="8" s="1"/>
  <c r="Z45" i="8"/>
  <c r="AM45" i="8" s="1"/>
  <c r="AU45" i="8" s="1"/>
  <c r="V45" i="8"/>
  <c r="AH45" i="8" s="1"/>
  <c r="Q46" i="8"/>
  <c r="Y45" i="8"/>
  <c r="AL45" i="8" s="1"/>
  <c r="T45" i="8"/>
  <c r="AE45" i="8" s="1"/>
  <c r="U45" i="8"/>
  <c r="AF45" i="8" s="1"/>
  <c r="X45" i="8"/>
  <c r="AK45" i="8" s="1"/>
  <c r="BT44" i="8"/>
  <c r="AR44" i="8"/>
  <c r="BR44" i="8"/>
  <c r="BS44" i="8"/>
  <c r="AQ44" i="8"/>
  <c r="BU44" i="8"/>
  <c r="AS44" i="8"/>
  <c r="AT44" i="8"/>
  <c r="BV44" i="8"/>
  <c r="BI44" i="8" l="1"/>
  <c r="BJ41" i="8"/>
  <c r="BH42" i="8" s="1"/>
  <c r="DW44" i="8"/>
  <c r="AO44" i="8"/>
  <c r="Z46" i="8"/>
  <c r="AM46" i="8" s="1"/>
  <c r="AU46" i="8" s="1"/>
  <c r="V46" i="8"/>
  <c r="AH46" i="8" s="1"/>
  <c r="Y46" i="8"/>
  <c r="AL46" i="8" s="1"/>
  <c r="U46" i="8"/>
  <c r="AF46" i="8" s="1"/>
  <c r="W46" i="8"/>
  <c r="AI46" i="8" s="1"/>
  <c r="S46" i="8"/>
  <c r="AC46" i="8" s="1"/>
  <c r="R46" i="8"/>
  <c r="AB46" i="8" s="1"/>
  <c r="Q47" i="8"/>
  <c r="X46" i="8"/>
  <c r="AK46" i="8" s="1"/>
  <c r="AA46" i="8"/>
  <c r="T46" i="8"/>
  <c r="AE46" i="8" s="1"/>
  <c r="AN45" i="8"/>
  <c r="BQ45" i="8" s="1"/>
  <c r="CI45" i="8" s="1"/>
  <c r="AD45" i="8"/>
  <c r="AG45" i="8" s="1"/>
  <c r="AJ45" i="8" s="1"/>
  <c r="DN45" i="8"/>
  <c r="AW45" i="8"/>
  <c r="AV45" i="8"/>
  <c r="AP45" i="8"/>
  <c r="DK45" i="8"/>
  <c r="DI44" i="8"/>
  <c r="DL44" i="8" s="1"/>
  <c r="DO44" i="8" s="1"/>
  <c r="DR44" i="8" s="1"/>
  <c r="DU44" i="8" s="1"/>
  <c r="AX45" i="8"/>
  <c r="DQ45" i="8"/>
  <c r="DT45" i="8"/>
  <c r="AY45" i="8"/>
  <c r="AS45" i="8"/>
  <c r="BU45" i="8"/>
  <c r="BR45" i="8"/>
  <c r="AQ45" i="8"/>
  <c r="BS45" i="8"/>
  <c r="AT45" i="8"/>
  <c r="BV45" i="8"/>
  <c r="BT45" i="8"/>
  <c r="AR45" i="8"/>
  <c r="BI45" i="8" l="1"/>
  <c r="BJ42" i="8"/>
  <c r="BH43" i="8" s="1"/>
  <c r="AO45" i="8"/>
  <c r="DW45" i="8"/>
  <c r="T47" i="8"/>
  <c r="AE47" i="8" s="1"/>
  <c r="Q48" i="8"/>
  <c r="Y47" i="8"/>
  <c r="AL47" i="8" s="1"/>
  <c r="V47" i="8"/>
  <c r="AH47" i="8" s="1"/>
  <c r="Z47" i="8"/>
  <c r="AM47" i="8" s="1"/>
  <c r="AU47" i="8" s="1"/>
  <c r="U47" i="8"/>
  <c r="AF47" i="8" s="1"/>
  <c r="W47" i="8"/>
  <c r="AI47" i="8" s="1"/>
  <c r="S47" i="8"/>
  <c r="AC47" i="8" s="1"/>
  <c r="R47" i="8"/>
  <c r="AB47" i="8" s="1"/>
  <c r="AA47" i="8"/>
  <c r="X47" i="8"/>
  <c r="AK47" i="8" s="1"/>
  <c r="AV46" i="8"/>
  <c r="AP46" i="8"/>
  <c r="DK46" i="8"/>
  <c r="DQ46" i="8"/>
  <c r="AX46" i="8"/>
  <c r="DI45" i="8"/>
  <c r="DL45" i="8" s="1"/>
  <c r="DO45" i="8" s="1"/>
  <c r="DR45" i="8" s="1"/>
  <c r="DU45" i="8" s="1"/>
  <c r="DN46" i="8"/>
  <c r="AW46" i="8"/>
  <c r="DT46" i="8"/>
  <c r="AY46" i="8"/>
  <c r="AD46" i="8"/>
  <c r="AG46" i="8" s="1"/>
  <c r="AJ46" i="8" s="1"/>
  <c r="AN46" i="8"/>
  <c r="BQ46" i="8" s="1"/>
  <c r="CI46" i="8" s="1"/>
  <c r="BU46" i="8"/>
  <c r="AS46" i="8"/>
  <c r="BT46" i="8"/>
  <c r="AR46" i="8"/>
  <c r="AT46" i="8"/>
  <c r="BV46" i="8"/>
  <c r="AQ46" i="8"/>
  <c r="BS46" i="8"/>
  <c r="BR46" i="8"/>
  <c r="BI46" i="8" l="1"/>
  <c r="BJ43" i="8"/>
  <c r="BH44" i="8" s="1"/>
  <c r="DW46" i="8"/>
  <c r="DI46" i="8"/>
  <c r="DL46" i="8" s="1"/>
  <c r="DO46" i="8" s="1"/>
  <c r="DR46" i="8" s="1"/>
  <c r="DU46" i="8" s="1"/>
  <c r="DT47" i="8"/>
  <c r="AY47" i="8"/>
  <c r="AD47" i="8"/>
  <c r="AG47" i="8" s="1"/>
  <c r="AJ47" i="8" s="1"/>
  <c r="AN47" i="8"/>
  <c r="BQ47" i="8" s="1"/>
  <c r="CI47" i="8" s="1"/>
  <c r="T48" i="8"/>
  <c r="AE48" i="8" s="1"/>
  <c r="Q49" i="8"/>
  <c r="V48" i="8"/>
  <c r="AH48" i="8" s="1"/>
  <c r="AA48" i="8"/>
  <c r="R48" i="8"/>
  <c r="AB48" i="8" s="1"/>
  <c r="X48" i="8"/>
  <c r="AK48" i="8" s="1"/>
  <c r="Z48" i="8"/>
  <c r="AM48" i="8" s="1"/>
  <c r="AU48" i="8" s="1"/>
  <c r="Y48" i="8"/>
  <c r="AL48" i="8" s="1"/>
  <c r="U48" i="8"/>
  <c r="AF48" i="8" s="1"/>
  <c r="W48" i="8"/>
  <c r="AI48" i="8" s="1"/>
  <c r="S48" i="8"/>
  <c r="AC48" i="8" s="1"/>
  <c r="AO46" i="8"/>
  <c r="DK47" i="8"/>
  <c r="AP47" i="8"/>
  <c r="AV47" i="8"/>
  <c r="DQ47" i="8"/>
  <c r="AX47" i="8"/>
  <c r="DN47" i="8"/>
  <c r="AW47" i="8"/>
  <c r="AR47" i="8"/>
  <c r="BT47" i="8"/>
  <c r="BS47" i="8"/>
  <c r="BR47" i="8"/>
  <c r="AQ47" i="8"/>
  <c r="BU47" i="8"/>
  <c r="AS47" i="8"/>
  <c r="BV47" i="8"/>
  <c r="AT47" i="8"/>
  <c r="BI47" i="8" l="1"/>
  <c r="BJ44" i="8"/>
  <c r="BH45" i="8" s="1"/>
  <c r="AO47" i="8"/>
  <c r="DW47" i="8"/>
  <c r="AN48" i="8"/>
  <c r="BQ48" i="8" s="1"/>
  <c r="CI48" i="8" s="1"/>
  <c r="AD48" i="8"/>
  <c r="AG48" i="8" s="1"/>
  <c r="AJ48" i="8" s="1"/>
  <c r="DK48" i="8"/>
  <c r="AP48" i="8"/>
  <c r="AV48" i="8"/>
  <c r="AX48" i="8"/>
  <c r="DQ48" i="8"/>
  <c r="U49" i="8"/>
  <c r="AF49" i="8" s="1"/>
  <c r="Q50" i="8"/>
  <c r="T49" i="8"/>
  <c r="AE49" i="8" s="1"/>
  <c r="Z49" i="8"/>
  <c r="AM49" i="8" s="1"/>
  <c r="AU49" i="8" s="1"/>
  <c r="S49" i="8"/>
  <c r="AC49" i="8" s="1"/>
  <c r="R49" i="8"/>
  <c r="AB49" i="8" s="1"/>
  <c r="W49" i="8"/>
  <c r="AI49" i="8" s="1"/>
  <c r="X49" i="8"/>
  <c r="AK49" i="8" s="1"/>
  <c r="AA49" i="8"/>
  <c r="V49" i="8"/>
  <c r="AH49" i="8" s="1"/>
  <c r="Y49" i="8"/>
  <c r="AL49" i="8" s="1"/>
  <c r="AW48" i="8"/>
  <c r="DN48" i="8"/>
  <c r="DT48" i="8"/>
  <c r="AY48" i="8"/>
  <c r="DI47" i="8"/>
  <c r="DL47" i="8" s="1"/>
  <c r="DO47" i="8" s="1"/>
  <c r="DR47" i="8" s="1"/>
  <c r="DU47" i="8" s="1"/>
  <c r="AR48" i="8"/>
  <c r="BT48" i="8"/>
  <c r="AT48" i="8"/>
  <c r="BV48" i="8"/>
  <c r="BU48" i="8"/>
  <c r="AS48" i="8"/>
  <c r="BS48" i="8"/>
  <c r="BR48" i="8"/>
  <c r="AQ48" i="8"/>
  <c r="BI48" i="8" l="1"/>
  <c r="BJ45" i="8"/>
  <c r="BH46" i="8" s="1"/>
  <c r="AO48" i="8"/>
  <c r="DK49" i="8"/>
  <c r="AP49" i="8"/>
  <c r="AV49" i="8"/>
  <c r="DW48" i="8"/>
  <c r="DT49" i="8"/>
  <c r="AY49" i="8"/>
  <c r="W50" i="8"/>
  <c r="AI50" i="8" s="1"/>
  <c r="S50" i="8"/>
  <c r="AC50" i="8" s="1"/>
  <c r="X50" i="8"/>
  <c r="AK50" i="8" s="1"/>
  <c r="U50" i="8"/>
  <c r="AF50" i="8" s="1"/>
  <c r="Q51" i="8"/>
  <c r="V50" i="8"/>
  <c r="AH50" i="8" s="1"/>
  <c r="Y50" i="8"/>
  <c r="AL50" i="8" s="1"/>
  <c r="AA50" i="8"/>
  <c r="R50" i="8"/>
  <c r="AB50" i="8" s="1"/>
  <c r="T50" i="8"/>
  <c r="AE50" i="8" s="1"/>
  <c r="Z50" i="8"/>
  <c r="AM50" i="8" s="1"/>
  <c r="AU50" i="8" s="1"/>
  <c r="DI48" i="8"/>
  <c r="DL48" i="8" s="1"/>
  <c r="DO48" i="8" s="1"/>
  <c r="DR48" i="8" s="1"/>
  <c r="DU48" i="8" s="1"/>
  <c r="AN49" i="8"/>
  <c r="BQ49" i="8" s="1"/>
  <c r="CI49" i="8" s="1"/>
  <c r="AD49" i="8"/>
  <c r="AG49" i="8" s="1"/>
  <c r="AJ49" i="8" s="1"/>
  <c r="DN49" i="8"/>
  <c r="AW49" i="8"/>
  <c r="DQ49" i="8"/>
  <c r="AX49" i="8"/>
  <c r="BR49" i="8"/>
  <c r="BS49" i="8"/>
  <c r="AQ49" i="8"/>
  <c r="BV49" i="8"/>
  <c r="AT49" i="8"/>
  <c r="AR49" i="8"/>
  <c r="BT49" i="8"/>
  <c r="AS49" i="8"/>
  <c r="BU49" i="8"/>
  <c r="AO49" i="8" l="1"/>
  <c r="BI49" i="8"/>
  <c r="BJ46" i="8"/>
  <c r="BH47" i="8" s="1"/>
  <c r="DT50" i="8"/>
  <c r="AY50" i="8"/>
  <c r="DI49" i="8"/>
  <c r="DL49" i="8" s="1"/>
  <c r="DO49" i="8" s="1"/>
  <c r="DR49" i="8" s="1"/>
  <c r="DU49" i="8" s="1"/>
  <c r="Q52" i="8"/>
  <c r="X51" i="8"/>
  <c r="AK51" i="8" s="1"/>
  <c r="S51" i="8"/>
  <c r="AC51" i="8" s="1"/>
  <c r="AA51" i="8"/>
  <c r="V51" i="8"/>
  <c r="AH51" i="8" s="1"/>
  <c r="Y51" i="8"/>
  <c r="AL51" i="8" s="1"/>
  <c r="R51" i="8"/>
  <c r="AB51" i="8" s="1"/>
  <c r="W51" i="8"/>
  <c r="AI51" i="8" s="1"/>
  <c r="Z51" i="8"/>
  <c r="AM51" i="8" s="1"/>
  <c r="AU51" i="8" s="1"/>
  <c r="U51" i="8"/>
  <c r="AF51" i="8" s="1"/>
  <c r="T51" i="8"/>
  <c r="AE51" i="8" s="1"/>
  <c r="DN50" i="8"/>
  <c r="AW50" i="8"/>
  <c r="AP50" i="8"/>
  <c r="AV50" i="8"/>
  <c r="DK50" i="8"/>
  <c r="DW49" i="8"/>
  <c r="DQ50" i="8"/>
  <c r="AX50" i="8"/>
  <c r="AN50" i="8"/>
  <c r="BQ50" i="8" s="1"/>
  <c r="CI50" i="8" s="1"/>
  <c r="AD50" i="8"/>
  <c r="AG50" i="8" s="1"/>
  <c r="AJ50" i="8" s="1"/>
  <c r="BU50" i="8"/>
  <c r="AS50" i="8"/>
  <c r="AR50" i="8"/>
  <c r="BT50" i="8"/>
  <c r="BS50" i="8"/>
  <c r="BR50" i="8"/>
  <c r="AQ50" i="8"/>
  <c r="AT50" i="8"/>
  <c r="BV50" i="8"/>
  <c r="BI50" i="8" l="1"/>
  <c r="BJ47" i="8"/>
  <c r="BH48" i="8" s="1"/>
  <c r="AO50" i="8"/>
  <c r="DN51" i="8"/>
  <c r="AW51" i="8"/>
  <c r="R52" i="8"/>
  <c r="AB52" i="8" s="1"/>
  <c r="AA52" i="8"/>
  <c r="X52" i="8"/>
  <c r="AK52" i="8" s="1"/>
  <c r="Q53" i="8"/>
  <c r="V52" i="8"/>
  <c r="AH52" i="8" s="1"/>
  <c r="Z52" i="8"/>
  <c r="AM52" i="8" s="1"/>
  <c r="AU52" i="8" s="1"/>
  <c r="T52" i="8"/>
  <c r="AE52" i="8" s="1"/>
  <c r="S52" i="8"/>
  <c r="AC52" i="8" s="1"/>
  <c r="Y52" i="8"/>
  <c r="AL52" i="8" s="1"/>
  <c r="U52" i="8"/>
  <c r="AF52" i="8" s="1"/>
  <c r="W52" i="8"/>
  <c r="AI52" i="8" s="1"/>
  <c r="DQ51" i="8"/>
  <c r="AX51" i="8"/>
  <c r="DT51" i="8"/>
  <c r="AY51" i="8"/>
  <c r="DI50" i="8"/>
  <c r="DL50" i="8" s="1"/>
  <c r="DO50" i="8" s="1"/>
  <c r="DR50" i="8" s="1"/>
  <c r="DU50" i="8" s="1"/>
  <c r="DW50" i="8"/>
  <c r="AD51" i="8"/>
  <c r="AG51" i="8" s="1"/>
  <c r="AJ51" i="8" s="1"/>
  <c r="AN51" i="8"/>
  <c r="BQ51" i="8" s="1"/>
  <c r="CI51" i="8" s="1"/>
  <c r="DK51" i="8"/>
  <c r="AP51" i="8"/>
  <c r="AV51" i="8"/>
  <c r="AT51" i="8"/>
  <c r="BV51" i="8"/>
  <c r="BT51" i="8"/>
  <c r="AR51" i="8"/>
  <c r="BR51" i="8"/>
  <c r="AQ51" i="8"/>
  <c r="BS51" i="8"/>
  <c r="BU51" i="8"/>
  <c r="AS51" i="8"/>
  <c r="BI51" i="8" l="1"/>
  <c r="BJ48" i="8"/>
  <c r="BH49" i="8" s="1"/>
  <c r="AO51" i="8"/>
  <c r="U53" i="8"/>
  <c r="AF53" i="8" s="1"/>
  <c r="W53" i="8"/>
  <c r="AI53" i="8" s="1"/>
  <c r="S53" i="8"/>
  <c r="AC53" i="8" s="1"/>
  <c r="V53" i="8"/>
  <c r="AH53" i="8" s="1"/>
  <c r="Q54" i="8"/>
  <c r="R53" i="8"/>
  <c r="AB53" i="8" s="1"/>
  <c r="AA53" i="8"/>
  <c r="X53" i="8"/>
  <c r="AK53" i="8" s="1"/>
  <c r="Y53" i="8"/>
  <c r="AL53" i="8" s="1"/>
  <c r="T53" i="8"/>
  <c r="AE53" i="8" s="1"/>
  <c r="Z53" i="8"/>
  <c r="AM53" i="8" s="1"/>
  <c r="AU53" i="8" s="1"/>
  <c r="AX52" i="8"/>
  <c r="DQ52" i="8"/>
  <c r="DN52" i="8"/>
  <c r="AW52" i="8"/>
  <c r="AN52" i="8"/>
  <c r="BQ52" i="8" s="1"/>
  <c r="CI52" i="8" s="1"/>
  <c r="AD52" i="8"/>
  <c r="AG52" i="8" s="1"/>
  <c r="AJ52" i="8" s="1"/>
  <c r="AY52" i="8"/>
  <c r="DT52" i="8"/>
  <c r="DK52" i="8"/>
  <c r="AV52" i="8"/>
  <c r="AP52" i="8"/>
  <c r="DW51" i="8"/>
  <c r="DI51" i="8"/>
  <c r="DL51" i="8" s="1"/>
  <c r="DO51" i="8" s="1"/>
  <c r="DR51" i="8" s="1"/>
  <c r="DU51" i="8" s="1"/>
  <c r="BT52" i="8"/>
  <c r="AR52" i="8"/>
  <c r="BR52" i="8"/>
  <c r="AQ52" i="8"/>
  <c r="BS52" i="8"/>
  <c r="AS52" i="8"/>
  <c r="BU52" i="8"/>
  <c r="AT52" i="8"/>
  <c r="BV52" i="8"/>
  <c r="BI52" i="8" l="1"/>
  <c r="BJ49" i="8"/>
  <c r="BH50" i="8" s="1"/>
  <c r="AO52" i="8"/>
  <c r="AD53" i="8"/>
  <c r="AG53" i="8" s="1"/>
  <c r="AJ53" i="8" s="1"/>
  <c r="AN53" i="8"/>
  <c r="BQ53" i="8" s="1"/>
  <c r="CI53" i="8" s="1"/>
  <c r="DW52" i="8"/>
  <c r="AA54" i="8"/>
  <c r="R54" i="8"/>
  <c r="AB54" i="8" s="1"/>
  <c r="Q55" i="8"/>
  <c r="X54" i="8"/>
  <c r="AK54" i="8" s="1"/>
  <c r="Z54" i="8"/>
  <c r="AM54" i="8" s="1"/>
  <c r="AU54" i="8" s="1"/>
  <c r="W54" i="8"/>
  <c r="AI54" i="8" s="1"/>
  <c r="V54" i="8"/>
  <c r="AH54" i="8" s="1"/>
  <c r="S54" i="8"/>
  <c r="AC54" i="8" s="1"/>
  <c r="T54" i="8"/>
  <c r="AE54" i="8" s="1"/>
  <c r="Y54" i="8"/>
  <c r="AL54" i="8" s="1"/>
  <c r="U54" i="8"/>
  <c r="AF54" i="8" s="1"/>
  <c r="AP53" i="8"/>
  <c r="BI53" i="8" s="1"/>
  <c r="DK53" i="8"/>
  <c r="AV53" i="8"/>
  <c r="DQ53" i="8"/>
  <c r="AX53" i="8"/>
  <c r="DT53" i="8"/>
  <c r="AY53" i="8"/>
  <c r="AW53" i="8"/>
  <c r="DN53" i="8"/>
  <c r="DI52" i="8"/>
  <c r="DL52" i="8" s="1"/>
  <c r="DO52" i="8" s="1"/>
  <c r="DR52" i="8" s="1"/>
  <c r="DU52" i="8" s="1"/>
  <c r="AT53" i="8"/>
  <c r="BV53" i="8"/>
  <c r="BR53" i="8"/>
  <c r="BS53" i="8"/>
  <c r="AQ53" i="8"/>
  <c r="BT53" i="8"/>
  <c r="AR53" i="8"/>
  <c r="AS53" i="8"/>
  <c r="BU53" i="8"/>
  <c r="BJ50" i="8" l="1"/>
  <c r="BH51" i="8" s="1"/>
  <c r="DW53" i="8"/>
  <c r="AO53" i="8"/>
  <c r="AN54" i="8"/>
  <c r="BQ54" i="8" s="1"/>
  <c r="CI54" i="8" s="1"/>
  <c r="AD54" i="8"/>
  <c r="AG54" i="8" s="1"/>
  <c r="AJ54" i="8" s="1"/>
  <c r="DK54" i="8"/>
  <c r="AV54" i="8"/>
  <c r="AP54" i="8"/>
  <c r="DQ54" i="8"/>
  <c r="AX54" i="8"/>
  <c r="DI53" i="8"/>
  <c r="DL53" i="8" s="1"/>
  <c r="DO53" i="8" s="1"/>
  <c r="DR53" i="8" s="1"/>
  <c r="DU53" i="8" s="1"/>
  <c r="DN54" i="8"/>
  <c r="AW54" i="8"/>
  <c r="X55" i="8"/>
  <c r="AK55" i="8" s="1"/>
  <c r="Q56" i="8"/>
  <c r="R55" i="8"/>
  <c r="AB55" i="8" s="1"/>
  <c r="T55" i="8"/>
  <c r="AE55" i="8" s="1"/>
  <c r="Z55" i="8"/>
  <c r="AM55" i="8" s="1"/>
  <c r="AU55" i="8" s="1"/>
  <c r="Y55" i="8"/>
  <c r="AL55" i="8" s="1"/>
  <c r="W55" i="8"/>
  <c r="AI55" i="8" s="1"/>
  <c r="S55" i="8"/>
  <c r="AC55" i="8" s="1"/>
  <c r="U55" i="8"/>
  <c r="AF55" i="8" s="1"/>
  <c r="AA55" i="8"/>
  <c r="V55" i="8"/>
  <c r="AH55" i="8" s="1"/>
  <c r="AY54" i="8"/>
  <c r="DT54" i="8"/>
  <c r="AS54" i="8"/>
  <c r="BU54" i="8"/>
  <c r="BV54" i="8"/>
  <c r="AT54" i="8"/>
  <c r="AR54" i="8"/>
  <c r="BT54" i="8"/>
  <c r="BR54" i="8"/>
  <c r="BS54" i="8"/>
  <c r="AQ54" i="8"/>
  <c r="BI54" i="8" l="1"/>
  <c r="BJ51" i="8"/>
  <c r="BH52" i="8" s="1"/>
  <c r="AO54" i="8"/>
  <c r="DW54" i="8"/>
  <c r="AD55" i="8"/>
  <c r="AG55" i="8" s="1"/>
  <c r="AJ55" i="8" s="1"/>
  <c r="AN55" i="8"/>
  <c r="BQ55" i="8" s="1"/>
  <c r="CI55" i="8" s="1"/>
  <c r="W56" i="8"/>
  <c r="AI56" i="8" s="1"/>
  <c r="U56" i="8"/>
  <c r="AF56" i="8" s="1"/>
  <c r="S56" i="8"/>
  <c r="AC56" i="8" s="1"/>
  <c r="X56" i="8"/>
  <c r="AK56" i="8" s="1"/>
  <c r="AA56" i="8"/>
  <c r="V56" i="8"/>
  <c r="AH56" i="8" s="1"/>
  <c r="R56" i="8"/>
  <c r="AB56" i="8" s="1"/>
  <c r="T56" i="8"/>
  <c r="AE56" i="8" s="1"/>
  <c r="Q57" i="8"/>
  <c r="Z56" i="8"/>
  <c r="AM56" i="8" s="1"/>
  <c r="AU56" i="8" s="1"/>
  <c r="Y56" i="8"/>
  <c r="AL56" i="8" s="1"/>
  <c r="DN55" i="8"/>
  <c r="AW55" i="8"/>
  <c r="DK55" i="8"/>
  <c r="AV55" i="8"/>
  <c r="AP55" i="8"/>
  <c r="AX55" i="8"/>
  <c r="DQ55" i="8"/>
  <c r="DT55" i="8"/>
  <c r="AY55" i="8"/>
  <c r="DI54" i="8"/>
  <c r="DL54" i="8" s="1"/>
  <c r="DO54" i="8" s="1"/>
  <c r="DR54" i="8" s="1"/>
  <c r="DU54" i="8" s="1"/>
  <c r="BS55" i="8"/>
  <c r="AQ55" i="8"/>
  <c r="BR55" i="8"/>
  <c r="AT55" i="8"/>
  <c r="BV55" i="8"/>
  <c r="AR55" i="8"/>
  <c r="BT55" i="8"/>
  <c r="AS55" i="8"/>
  <c r="BU55" i="8"/>
  <c r="BI55" i="8" l="1"/>
  <c r="BJ52" i="8"/>
  <c r="BH53" i="8" s="1"/>
  <c r="AO55" i="8"/>
  <c r="DW55" i="8"/>
  <c r="DI55" i="8"/>
  <c r="DL55" i="8" s="1"/>
  <c r="DO55" i="8" s="1"/>
  <c r="DR55" i="8" s="1"/>
  <c r="DU55" i="8" s="1"/>
  <c r="AD56" i="8"/>
  <c r="AG56" i="8" s="1"/>
  <c r="AJ56" i="8" s="1"/>
  <c r="AN56" i="8"/>
  <c r="BQ56" i="8" s="1"/>
  <c r="CI56" i="8" s="1"/>
  <c r="DT56" i="8"/>
  <c r="AY56" i="8"/>
  <c r="AV56" i="8"/>
  <c r="DK56" i="8"/>
  <c r="AP56" i="8"/>
  <c r="BI56" i="8" s="1"/>
  <c r="AW56" i="8"/>
  <c r="DN56" i="8"/>
  <c r="Y57" i="8"/>
  <c r="AL57" i="8" s="1"/>
  <c r="U57" i="8"/>
  <c r="AF57" i="8" s="1"/>
  <c r="R57" i="8"/>
  <c r="AB57" i="8" s="1"/>
  <c r="W57" i="8"/>
  <c r="AI57" i="8" s="1"/>
  <c r="S57" i="8"/>
  <c r="AC57" i="8" s="1"/>
  <c r="X57" i="8"/>
  <c r="AK57" i="8" s="1"/>
  <c r="Z57" i="8"/>
  <c r="AM57" i="8" s="1"/>
  <c r="AU57" i="8" s="1"/>
  <c r="Q58" i="8"/>
  <c r="V57" i="8"/>
  <c r="AH57" i="8" s="1"/>
  <c r="T57" i="8"/>
  <c r="AE57" i="8" s="1"/>
  <c r="AA57" i="8"/>
  <c r="AX56" i="8"/>
  <c r="DQ56" i="8"/>
  <c r="BU56" i="8"/>
  <c r="AS56" i="8"/>
  <c r="AQ56" i="8"/>
  <c r="BS56" i="8"/>
  <c r="BR56" i="8"/>
  <c r="BT56" i="8"/>
  <c r="AR56" i="8"/>
  <c r="AT56" i="8"/>
  <c r="BV56" i="8"/>
  <c r="BJ53" i="8" l="1"/>
  <c r="BH54" i="8" s="1"/>
  <c r="AV57" i="8"/>
  <c r="DK57" i="8"/>
  <c r="AP57" i="8"/>
  <c r="BI57" i="8" s="1"/>
  <c r="DW56" i="8"/>
  <c r="DQ57" i="8"/>
  <c r="AX57" i="8"/>
  <c r="DN57" i="8"/>
  <c r="AW57" i="8"/>
  <c r="AD57" i="8"/>
  <c r="AG57" i="8" s="1"/>
  <c r="AJ57" i="8" s="1"/>
  <c r="AN57" i="8"/>
  <c r="BQ57" i="8" s="1"/>
  <c r="CI57" i="8" s="1"/>
  <c r="AY57" i="8"/>
  <c r="DT57" i="8"/>
  <c r="AO56" i="8"/>
  <c r="R58" i="8"/>
  <c r="AB58" i="8" s="1"/>
  <c r="AA58" i="8"/>
  <c r="X58" i="8"/>
  <c r="AK58" i="8" s="1"/>
  <c r="T58" i="8"/>
  <c r="AE58" i="8" s="1"/>
  <c r="Q59" i="8"/>
  <c r="Y58" i="8"/>
  <c r="AL58" i="8" s="1"/>
  <c r="V58" i="8"/>
  <c r="AH58" i="8" s="1"/>
  <c r="Z58" i="8"/>
  <c r="AM58" i="8" s="1"/>
  <c r="AU58" i="8" s="1"/>
  <c r="U58" i="8"/>
  <c r="AF58" i="8" s="1"/>
  <c r="W58" i="8"/>
  <c r="AI58" i="8" s="1"/>
  <c r="S58" i="8"/>
  <c r="AC58" i="8" s="1"/>
  <c r="DI56" i="8"/>
  <c r="DL56" i="8" s="1"/>
  <c r="DO56" i="8" s="1"/>
  <c r="DR56" i="8" s="1"/>
  <c r="DU56" i="8" s="1"/>
  <c r="BV57" i="8"/>
  <c r="AT57" i="8"/>
  <c r="BS57" i="8"/>
  <c r="BR57" i="8"/>
  <c r="AQ57" i="8"/>
  <c r="AR57" i="8"/>
  <c r="BT57" i="8"/>
  <c r="BU57" i="8"/>
  <c r="AS57" i="8"/>
  <c r="AO57" i="8" l="1"/>
  <c r="BJ54" i="8"/>
  <c r="BH55" i="8" s="1"/>
  <c r="DW57" i="8"/>
  <c r="DT58" i="8"/>
  <c r="AY58" i="8"/>
  <c r="W59" i="8"/>
  <c r="AI59" i="8" s="1"/>
  <c r="X59" i="8"/>
  <c r="AK59" i="8" s="1"/>
  <c r="R59" i="8"/>
  <c r="AB59" i="8" s="1"/>
  <c r="T59" i="8"/>
  <c r="AE59" i="8" s="1"/>
  <c r="Q60" i="8"/>
  <c r="AA59" i="8"/>
  <c r="V59" i="8"/>
  <c r="AH59" i="8" s="1"/>
  <c r="S59" i="8"/>
  <c r="AC59" i="8" s="1"/>
  <c r="U59" i="8"/>
  <c r="AF59" i="8" s="1"/>
  <c r="Z59" i="8"/>
  <c r="AM59" i="8" s="1"/>
  <c r="AU59" i="8" s="1"/>
  <c r="Y59" i="8"/>
  <c r="AL59" i="8" s="1"/>
  <c r="DI57" i="8"/>
  <c r="DL57" i="8" s="1"/>
  <c r="DO57" i="8" s="1"/>
  <c r="DR57" i="8" s="1"/>
  <c r="DU57" i="8" s="1"/>
  <c r="DK58" i="8"/>
  <c r="AV58" i="8"/>
  <c r="AP58" i="8"/>
  <c r="BI58" i="8" s="1"/>
  <c r="DQ58" i="8"/>
  <c r="AX58" i="8"/>
  <c r="AN58" i="8"/>
  <c r="BQ58" i="8" s="1"/>
  <c r="CI58" i="8" s="1"/>
  <c r="AD58" i="8"/>
  <c r="AG58" i="8" s="1"/>
  <c r="AJ58" i="8" s="1"/>
  <c r="AW58" i="8"/>
  <c r="DN58" i="8"/>
  <c r="AS58" i="8"/>
  <c r="BU58" i="8"/>
  <c r="AQ58" i="8"/>
  <c r="BS58" i="8"/>
  <c r="BR58" i="8"/>
  <c r="AR58" i="8"/>
  <c r="BT58" i="8"/>
  <c r="BV58" i="8"/>
  <c r="AT58" i="8"/>
  <c r="BJ55" i="8" l="1"/>
  <c r="BH56" i="8" s="1"/>
  <c r="DI58" i="8"/>
  <c r="DL58" i="8" s="1"/>
  <c r="DO58" i="8" s="1"/>
  <c r="DR58" i="8" s="1"/>
  <c r="DU58" i="8" s="1"/>
  <c r="AY59" i="8"/>
  <c r="DT59" i="8"/>
  <c r="AX59" i="8"/>
  <c r="DQ59" i="8"/>
  <c r="AP59" i="8"/>
  <c r="BI59" i="8" s="1"/>
  <c r="DK59" i="8"/>
  <c r="AV59" i="8"/>
  <c r="DW58" i="8"/>
  <c r="AO58" i="8"/>
  <c r="AN59" i="8"/>
  <c r="BQ59" i="8" s="1"/>
  <c r="CI59" i="8" s="1"/>
  <c r="AD59" i="8"/>
  <c r="AG59" i="8" s="1"/>
  <c r="AJ59" i="8" s="1"/>
  <c r="AW59" i="8"/>
  <c r="DN59" i="8"/>
  <c r="X60" i="8"/>
  <c r="AK60" i="8" s="1"/>
  <c r="AA60" i="8"/>
  <c r="R60" i="8"/>
  <c r="AB60" i="8" s="1"/>
  <c r="V60" i="8"/>
  <c r="AH60" i="8" s="1"/>
  <c r="W60" i="8"/>
  <c r="AI60" i="8" s="1"/>
  <c r="Q61" i="8"/>
  <c r="T60" i="8"/>
  <c r="AE60" i="8" s="1"/>
  <c r="Z60" i="8"/>
  <c r="AM60" i="8" s="1"/>
  <c r="AU60" i="8" s="1"/>
  <c r="S60" i="8"/>
  <c r="AC60" i="8" s="1"/>
  <c r="Y60" i="8"/>
  <c r="AL60" i="8" s="1"/>
  <c r="U60" i="8"/>
  <c r="AF60" i="8" s="1"/>
  <c r="AQ59" i="8"/>
  <c r="BS59" i="8"/>
  <c r="BR59" i="8"/>
  <c r="AT59" i="8"/>
  <c r="BV59" i="8"/>
  <c r="AR59" i="8"/>
  <c r="BT59" i="8"/>
  <c r="AS59" i="8"/>
  <c r="BU59" i="8"/>
  <c r="BJ56" i="8" l="1"/>
  <c r="BH57" i="8" s="1"/>
  <c r="DW59" i="8"/>
  <c r="AO59" i="8"/>
  <c r="DT60" i="8"/>
  <c r="AY60" i="8"/>
  <c r="AD60" i="8"/>
  <c r="AG60" i="8" s="1"/>
  <c r="AJ60" i="8" s="1"/>
  <c r="AN60" i="8"/>
  <c r="BQ60" i="8" s="1"/>
  <c r="CI60" i="8" s="1"/>
  <c r="AV60" i="8"/>
  <c r="AP60" i="8"/>
  <c r="BI60" i="8" s="1"/>
  <c r="DK60" i="8"/>
  <c r="AA61" i="8"/>
  <c r="R61" i="8"/>
  <c r="AB61" i="8" s="1"/>
  <c r="Q62" i="8"/>
  <c r="T61" i="8"/>
  <c r="AE61" i="8" s="1"/>
  <c r="Y61" i="8"/>
  <c r="AL61" i="8" s="1"/>
  <c r="X61" i="8"/>
  <c r="AK61" i="8" s="1"/>
  <c r="U61" i="8"/>
  <c r="AF61" i="8" s="1"/>
  <c r="V61" i="8"/>
  <c r="AH61" i="8" s="1"/>
  <c r="Z61" i="8"/>
  <c r="AM61" i="8" s="1"/>
  <c r="AU61" i="8" s="1"/>
  <c r="W61" i="8"/>
  <c r="AI61" i="8" s="1"/>
  <c r="S61" i="8"/>
  <c r="AC61" i="8" s="1"/>
  <c r="AX60" i="8"/>
  <c r="DQ60" i="8"/>
  <c r="DI59" i="8"/>
  <c r="DL59" i="8" s="1"/>
  <c r="DO59" i="8" s="1"/>
  <c r="DR59" i="8" s="1"/>
  <c r="DU59" i="8" s="1"/>
  <c r="DN60" i="8"/>
  <c r="AW60" i="8"/>
  <c r="AS60" i="8"/>
  <c r="BU60" i="8"/>
  <c r="BS60" i="8"/>
  <c r="AQ60" i="8"/>
  <c r="BR60" i="8"/>
  <c r="AR60" i="8"/>
  <c r="BT60" i="8"/>
  <c r="BV60" i="8"/>
  <c r="AT60" i="8"/>
  <c r="BJ57" i="8" l="1"/>
  <c r="BH58" i="8" s="1"/>
  <c r="AO60" i="8"/>
  <c r="AW61" i="8"/>
  <c r="DN61" i="8"/>
  <c r="DW60" i="8"/>
  <c r="AY61" i="8"/>
  <c r="DT61" i="8"/>
  <c r="DI60" i="8"/>
  <c r="DL60" i="8" s="1"/>
  <c r="DO60" i="8" s="1"/>
  <c r="DR60" i="8" s="1"/>
  <c r="DU60" i="8" s="1"/>
  <c r="AP61" i="8"/>
  <c r="BI61" i="8" s="1"/>
  <c r="AV61" i="8"/>
  <c r="DK61" i="8"/>
  <c r="Z62" i="8"/>
  <c r="AM62" i="8" s="1"/>
  <c r="AU62" i="8" s="1"/>
  <c r="T62" i="8"/>
  <c r="AE62" i="8" s="1"/>
  <c r="Y62" i="8"/>
  <c r="AL62" i="8" s="1"/>
  <c r="W62" i="8"/>
  <c r="AI62" i="8" s="1"/>
  <c r="U62" i="8"/>
  <c r="AF62" i="8" s="1"/>
  <c r="Q63" i="8"/>
  <c r="S62" i="8"/>
  <c r="AC62" i="8" s="1"/>
  <c r="R62" i="8"/>
  <c r="AB62" i="8" s="1"/>
  <c r="AA62" i="8"/>
  <c r="X62" i="8"/>
  <c r="AK62" i="8" s="1"/>
  <c r="V62" i="8"/>
  <c r="AH62" i="8" s="1"/>
  <c r="DQ61" i="8"/>
  <c r="AX61" i="8"/>
  <c r="AN61" i="8"/>
  <c r="BQ61" i="8" s="1"/>
  <c r="CI61" i="8" s="1"/>
  <c r="AD61" i="8"/>
  <c r="AG61" i="8" s="1"/>
  <c r="AJ61" i="8" s="1"/>
  <c r="AQ61" i="8"/>
  <c r="BR61" i="8"/>
  <c r="BS61" i="8"/>
  <c r="AS61" i="8"/>
  <c r="BU61" i="8"/>
  <c r="AT61" i="8"/>
  <c r="BV61" i="8"/>
  <c r="BT61" i="8"/>
  <c r="AR61" i="8"/>
  <c r="AO61" i="8" l="1"/>
  <c r="BJ58" i="8"/>
  <c r="BH59" i="8" s="1"/>
  <c r="AN62" i="8"/>
  <c r="BQ62" i="8" s="1"/>
  <c r="CI62" i="8" s="1"/>
  <c r="AD62" i="8"/>
  <c r="AG62" i="8" s="1"/>
  <c r="AJ62" i="8" s="1"/>
  <c r="DK62" i="8"/>
  <c r="AV62" i="8"/>
  <c r="AP62" i="8"/>
  <c r="DI61" i="8"/>
  <c r="DL61" i="8" s="1"/>
  <c r="DO61" i="8" s="1"/>
  <c r="DR61" i="8" s="1"/>
  <c r="DU61" i="8" s="1"/>
  <c r="AA63" i="8"/>
  <c r="V63" i="8"/>
  <c r="AH63" i="8" s="1"/>
  <c r="T63" i="8"/>
  <c r="AE63" i="8" s="1"/>
  <c r="S63" i="8"/>
  <c r="AC63" i="8" s="1"/>
  <c r="Q64" i="8"/>
  <c r="X63" i="8"/>
  <c r="AK63" i="8" s="1"/>
  <c r="Z63" i="8"/>
  <c r="AM63" i="8" s="1"/>
  <c r="AU63" i="8" s="1"/>
  <c r="W63" i="8"/>
  <c r="AI63" i="8" s="1"/>
  <c r="Y63" i="8"/>
  <c r="AL63" i="8" s="1"/>
  <c r="U63" i="8"/>
  <c r="AF63" i="8" s="1"/>
  <c r="R63" i="8"/>
  <c r="AB63" i="8" s="1"/>
  <c r="DW61" i="8"/>
  <c r="AW62" i="8"/>
  <c r="DN62" i="8"/>
  <c r="AX62" i="8"/>
  <c r="DQ62" i="8"/>
  <c r="DT62" i="8"/>
  <c r="AY62" i="8"/>
  <c r="BS62" i="8"/>
  <c r="BR62" i="8"/>
  <c r="AQ62" i="8"/>
  <c r="BV62" i="8"/>
  <c r="AT62" i="8"/>
  <c r="AR62" i="8"/>
  <c r="BT62" i="8"/>
  <c r="BU62" i="8"/>
  <c r="AS62" i="8"/>
  <c r="BI62" i="8" l="1"/>
  <c r="BJ59" i="8"/>
  <c r="BH60" i="8" s="1"/>
  <c r="DW62" i="8"/>
  <c r="AO62" i="8"/>
  <c r="DT63" i="8"/>
  <c r="AY63" i="8"/>
  <c r="AD63" i="8"/>
  <c r="AG63" i="8" s="1"/>
  <c r="AJ63" i="8" s="1"/>
  <c r="AN63" i="8"/>
  <c r="BQ63" i="8" s="1"/>
  <c r="CI63" i="8" s="1"/>
  <c r="DQ63" i="8"/>
  <c r="AX63" i="8"/>
  <c r="Y64" i="8"/>
  <c r="AL64" i="8" s="1"/>
  <c r="R64" i="8"/>
  <c r="AB64" i="8" s="1"/>
  <c r="Q65" i="8"/>
  <c r="V64" i="8"/>
  <c r="AH64" i="8" s="1"/>
  <c r="AA64" i="8"/>
  <c r="X64" i="8"/>
  <c r="AK64" i="8" s="1"/>
  <c r="Z64" i="8"/>
  <c r="AM64" i="8" s="1"/>
  <c r="AU64" i="8" s="1"/>
  <c r="T64" i="8"/>
  <c r="AE64" i="8" s="1"/>
  <c r="U64" i="8"/>
  <c r="AF64" i="8" s="1"/>
  <c r="W64" i="8"/>
  <c r="AI64" i="8" s="1"/>
  <c r="S64" i="8"/>
  <c r="AC64" i="8" s="1"/>
  <c r="AV63" i="8"/>
  <c r="DK63" i="8"/>
  <c r="AP63" i="8"/>
  <c r="AW63" i="8"/>
  <c r="DN63" i="8"/>
  <c r="DI62" i="8"/>
  <c r="DL62" i="8" s="1"/>
  <c r="DO62" i="8" s="1"/>
  <c r="DR62" i="8" s="1"/>
  <c r="DU62" i="8" s="1"/>
  <c r="BU63" i="8"/>
  <c r="AS63" i="8"/>
  <c r="BS63" i="8"/>
  <c r="AQ63" i="8"/>
  <c r="BR63" i="8"/>
  <c r="AR63" i="8"/>
  <c r="BT63" i="8"/>
  <c r="BV63" i="8"/>
  <c r="AT63" i="8"/>
  <c r="BI63" i="8" l="1"/>
  <c r="BJ60" i="8"/>
  <c r="BH61" i="8" s="1"/>
  <c r="AO63" i="8"/>
  <c r="DW63" i="8"/>
  <c r="AN64" i="8"/>
  <c r="BQ64" i="8" s="1"/>
  <c r="CI64" i="8" s="1"/>
  <c r="AD64" i="8"/>
  <c r="AG64" i="8" s="1"/>
  <c r="AJ64" i="8" s="1"/>
  <c r="DI63" i="8"/>
  <c r="DL63" i="8" s="1"/>
  <c r="DO63" i="8" s="1"/>
  <c r="DR63" i="8" s="1"/>
  <c r="DU63" i="8" s="1"/>
  <c r="DK64" i="8"/>
  <c r="AV64" i="8"/>
  <c r="AP64" i="8"/>
  <c r="BI64" i="8" s="1"/>
  <c r="AA65" i="8"/>
  <c r="V65" i="8"/>
  <c r="AH65" i="8" s="1"/>
  <c r="Q66" i="8"/>
  <c r="R65" i="8"/>
  <c r="AB65" i="8" s="1"/>
  <c r="Z65" i="8"/>
  <c r="AM65" i="8" s="1"/>
  <c r="AU65" i="8" s="1"/>
  <c r="X65" i="8"/>
  <c r="AK65" i="8" s="1"/>
  <c r="U65" i="8"/>
  <c r="AF65" i="8" s="1"/>
  <c r="Y65" i="8"/>
  <c r="AL65" i="8" s="1"/>
  <c r="W65" i="8"/>
  <c r="AI65" i="8" s="1"/>
  <c r="S65" i="8"/>
  <c r="AC65" i="8" s="1"/>
  <c r="T65" i="8"/>
  <c r="AE65" i="8" s="1"/>
  <c r="AX64" i="8"/>
  <c r="DQ64" i="8"/>
  <c r="DN64" i="8"/>
  <c r="AW64" i="8"/>
  <c r="AY64" i="8"/>
  <c r="DT64" i="8"/>
  <c r="AQ64" i="8"/>
  <c r="BR64" i="8"/>
  <c r="BS64" i="8"/>
  <c r="BV64" i="8"/>
  <c r="AT64" i="8"/>
  <c r="BT64" i="8"/>
  <c r="AR64" i="8"/>
  <c r="AS64" i="8"/>
  <c r="BU64" i="8"/>
  <c r="BJ61" i="8" l="1"/>
  <c r="BH62" i="8" s="1"/>
  <c r="BJ62" i="8" s="1"/>
  <c r="BH63" i="8" s="1"/>
  <c r="BJ63" i="8" s="1"/>
  <c r="DW64" i="8"/>
  <c r="AO64" i="8"/>
  <c r="DK65" i="8"/>
  <c r="AP65" i="8"/>
  <c r="BI65" i="8" s="1"/>
  <c r="AV65" i="8"/>
  <c r="DI64" i="8"/>
  <c r="DL64" i="8" s="1"/>
  <c r="DO64" i="8" s="1"/>
  <c r="DR64" i="8" s="1"/>
  <c r="DU64" i="8" s="1"/>
  <c r="DQ65" i="8"/>
  <c r="AX65" i="8"/>
  <c r="AN65" i="8"/>
  <c r="BQ65" i="8" s="1"/>
  <c r="CI65" i="8" s="1"/>
  <c r="AD65" i="8"/>
  <c r="AG65" i="8" s="1"/>
  <c r="AJ65" i="8" s="1"/>
  <c r="DT65" i="8"/>
  <c r="AY65" i="8"/>
  <c r="DN65" i="8"/>
  <c r="AW65" i="8"/>
  <c r="Z66" i="8"/>
  <c r="AM66" i="8" s="1"/>
  <c r="AU66" i="8" s="1"/>
  <c r="X66" i="8"/>
  <c r="AK66" i="8" s="1"/>
  <c r="Y66" i="8"/>
  <c r="AL66" i="8" s="1"/>
  <c r="S66" i="8"/>
  <c r="AC66" i="8" s="1"/>
  <c r="U66" i="8"/>
  <c r="AF66" i="8" s="1"/>
  <c r="V66" i="8"/>
  <c r="AH66" i="8" s="1"/>
  <c r="AA66" i="8"/>
  <c r="R66" i="8"/>
  <c r="AB66" i="8" s="1"/>
  <c r="Q67" i="8"/>
  <c r="T66" i="8"/>
  <c r="AE66" i="8" s="1"/>
  <c r="W66" i="8"/>
  <c r="AI66" i="8" s="1"/>
  <c r="AS65" i="8"/>
  <c r="BU65" i="8"/>
  <c r="AR65" i="8"/>
  <c r="BT65" i="8"/>
  <c r="AQ65" i="8"/>
  <c r="BS65" i="8"/>
  <c r="BR65" i="8"/>
  <c r="AT65" i="8"/>
  <c r="BV65" i="8"/>
  <c r="AO65" i="8" l="1"/>
  <c r="BH64" i="8"/>
  <c r="BJ64" i="8" s="1"/>
  <c r="T67" i="8"/>
  <c r="AE67" i="8" s="1"/>
  <c r="X67" i="8"/>
  <c r="AK67" i="8" s="1"/>
  <c r="S67" i="8"/>
  <c r="AC67" i="8" s="1"/>
  <c r="Q68" i="8"/>
  <c r="V67" i="8"/>
  <c r="AH67" i="8" s="1"/>
  <c r="AA67" i="8"/>
  <c r="Z67" i="8"/>
  <c r="AM67" i="8" s="1"/>
  <c r="AU67" i="8" s="1"/>
  <c r="R67" i="8"/>
  <c r="AB67" i="8" s="1"/>
  <c r="Y67" i="8"/>
  <c r="AL67" i="8" s="1"/>
  <c r="W67" i="8"/>
  <c r="AI67" i="8" s="1"/>
  <c r="U67" i="8"/>
  <c r="AF67" i="8" s="1"/>
  <c r="AD66" i="8"/>
  <c r="AG66" i="8" s="1"/>
  <c r="AJ66" i="8" s="1"/>
  <c r="AN66" i="8"/>
  <c r="BQ66" i="8" s="1"/>
  <c r="CI66" i="8" s="1"/>
  <c r="AW66" i="8"/>
  <c r="DN66" i="8"/>
  <c r="DK66" i="8"/>
  <c r="AV66" i="8"/>
  <c r="AP66" i="8"/>
  <c r="DW65" i="8"/>
  <c r="DQ66" i="8"/>
  <c r="AX66" i="8"/>
  <c r="DT66" i="8"/>
  <c r="AY66" i="8"/>
  <c r="DI65" i="8"/>
  <c r="DL65" i="8" s="1"/>
  <c r="DO65" i="8" s="1"/>
  <c r="DR65" i="8" s="1"/>
  <c r="DU65" i="8" s="1"/>
  <c r="AT66" i="8"/>
  <c r="BV66" i="8"/>
  <c r="BT66" i="8"/>
  <c r="AR66" i="8"/>
  <c r="BU66" i="8"/>
  <c r="AS66" i="8"/>
  <c r="BS66" i="8"/>
  <c r="AQ66" i="8"/>
  <c r="BR66" i="8"/>
  <c r="BI66" i="8" l="1"/>
  <c r="BH65" i="8"/>
  <c r="BJ65" i="8" s="1"/>
  <c r="DW66" i="8"/>
  <c r="AD67" i="8"/>
  <c r="AG67" i="8" s="1"/>
  <c r="AJ67" i="8" s="1"/>
  <c r="AN67" i="8"/>
  <c r="BQ67" i="8" s="1"/>
  <c r="CI67" i="8" s="1"/>
  <c r="DI66" i="8"/>
  <c r="DL66" i="8" s="1"/>
  <c r="DO66" i="8" s="1"/>
  <c r="DR66" i="8" s="1"/>
  <c r="DU66" i="8" s="1"/>
  <c r="AO66" i="8"/>
  <c r="Q69" i="8"/>
  <c r="X68" i="8"/>
  <c r="AK68" i="8" s="1"/>
  <c r="AA68" i="8"/>
  <c r="R68" i="8"/>
  <c r="AB68" i="8" s="1"/>
  <c r="V68" i="8"/>
  <c r="AH68" i="8" s="1"/>
  <c r="Y68" i="8"/>
  <c r="AL68" i="8" s="1"/>
  <c r="Z68" i="8"/>
  <c r="AM68" i="8" s="1"/>
  <c r="AU68" i="8" s="1"/>
  <c r="W68" i="8"/>
  <c r="AI68" i="8" s="1"/>
  <c r="U68" i="8"/>
  <c r="AF68" i="8" s="1"/>
  <c r="S68" i="8"/>
  <c r="AC68" i="8" s="1"/>
  <c r="T68" i="8"/>
  <c r="AE68" i="8" s="1"/>
  <c r="DN67" i="8"/>
  <c r="AW67" i="8"/>
  <c r="DK67" i="8"/>
  <c r="AV67" i="8"/>
  <c r="AP67" i="8"/>
  <c r="DQ67" i="8"/>
  <c r="AX67" i="8"/>
  <c r="AY67" i="8"/>
  <c r="DT67" i="8"/>
  <c r="AR67" i="8"/>
  <c r="BT67" i="8"/>
  <c r="BR67" i="8"/>
  <c r="BS67" i="8"/>
  <c r="AQ67" i="8"/>
  <c r="AT67" i="8"/>
  <c r="BV67" i="8"/>
  <c r="BU67" i="8"/>
  <c r="AS67" i="8"/>
  <c r="BI67" i="8" l="1"/>
  <c r="DW67" i="8"/>
  <c r="BH66" i="8"/>
  <c r="BJ66" i="8" s="1"/>
  <c r="AW68" i="8"/>
  <c r="DN68" i="8"/>
  <c r="Q70" i="8"/>
  <c r="X69" i="8"/>
  <c r="AK69" i="8" s="1"/>
  <c r="V69" i="8"/>
  <c r="AH69" i="8" s="1"/>
  <c r="U69" i="8"/>
  <c r="AF69" i="8" s="1"/>
  <c r="Z69" i="8"/>
  <c r="AM69" i="8" s="1"/>
  <c r="AU69" i="8" s="1"/>
  <c r="W69" i="8"/>
  <c r="AI69" i="8" s="1"/>
  <c r="T69" i="8"/>
  <c r="AE69" i="8" s="1"/>
  <c r="Y69" i="8"/>
  <c r="AL69" i="8" s="1"/>
  <c r="S69" i="8"/>
  <c r="AC69" i="8" s="1"/>
  <c r="R69" i="8"/>
  <c r="AB69" i="8" s="1"/>
  <c r="AA69" i="8"/>
  <c r="DQ68" i="8"/>
  <c r="AX68" i="8"/>
  <c r="AY68" i="8"/>
  <c r="DT68" i="8"/>
  <c r="DI67" i="8"/>
  <c r="DL67" i="8" s="1"/>
  <c r="DO67" i="8" s="1"/>
  <c r="DR67" i="8" s="1"/>
  <c r="DU67" i="8" s="1"/>
  <c r="AD68" i="8"/>
  <c r="AG68" i="8" s="1"/>
  <c r="AJ68" i="8" s="1"/>
  <c r="AN68" i="8"/>
  <c r="BQ68" i="8" s="1"/>
  <c r="CI68" i="8" s="1"/>
  <c r="AO67" i="8"/>
  <c r="AV68" i="8"/>
  <c r="DK68" i="8"/>
  <c r="AP68" i="8"/>
  <c r="BI68" i="8" s="1"/>
  <c r="BR68" i="8"/>
  <c r="AQ68" i="8"/>
  <c r="BS68" i="8"/>
  <c r="BT68" i="8"/>
  <c r="AR68" i="8"/>
  <c r="BU68" i="8"/>
  <c r="AS68" i="8"/>
  <c r="AT68" i="8"/>
  <c r="BV68" i="8"/>
  <c r="AO68" i="8" l="1"/>
  <c r="BH67" i="8"/>
  <c r="BJ67" i="8" s="1"/>
  <c r="AX69" i="8"/>
  <c r="DQ69" i="8"/>
  <c r="DI68" i="8"/>
  <c r="DL68" i="8" s="1"/>
  <c r="DO68" i="8" s="1"/>
  <c r="DR68" i="8" s="1"/>
  <c r="DU68" i="8" s="1"/>
  <c r="AW69" i="8"/>
  <c r="DN69" i="8"/>
  <c r="AD69" i="8"/>
  <c r="AG69" i="8" s="1"/>
  <c r="AJ69" i="8" s="1"/>
  <c r="AN69" i="8"/>
  <c r="BQ69" i="8" s="1"/>
  <c r="CI69" i="8" s="1"/>
  <c r="DW68" i="8"/>
  <c r="AP69" i="8"/>
  <c r="BI69" i="8" s="1"/>
  <c r="DK69" i="8"/>
  <c r="AV69" i="8"/>
  <c r="AA70" i="8"/>
  <c r="R70" i="8"/>
  <c r="AB70" i="8" s="1"/>
  <c r="W70" i="8"/>
  <c r="AI70" i="8" s="1"/>
  <c r="T70" i="8"/>
  <c r="AE70" i="8" s="1"/>
  <c r="Z70" i="8"/>
  <c r="AM70" i="8" s="1"/>
  <c r="AU70" i="8" s="1"/>
  <c r="Y70" i="8"/>
  <c r="AL70" i="8" s="1"/>
  <c r="S70" i="8"/>
  <c r="AC70" i="8" s="1"/>
  <c r="U70" i="8"/>
  <c r="AF70" i="8" s="1"/>
  <c r="X70" i="8"/>
  <c r="AK70" i="8" s="1"/>
  <c r="Q71" i="8"/>
  <c r="V70" i="8"/>
  <c r="AH70" i="8" s="1"/>
  <c r="DT69" i="8"/>
  <c r="AY69" i="8"/>
  <c r="AR69" i="8"/>
  <c r="BT69" i="8"/>
  <c r="BU69" i="8"/>
  <c r="AS69" i="8"/>
  <c r="BS69" i="8"/>
  <c r="BR69" i="8"/>
  <c r="AQ69" i="8"/>
  <c r="BV69" i="8"/>
  <c r="AT69" i="8"/>
  <c r="AO69" i="8" l="1"/>
  <c r="DW69" i="8"/>
  <c r="BH68" i="8"/>
  <c r="BJ68" i="8" s="1"/>
  <c r="DN70" i="8"/>
  <c r="AW70" i="8"/>
  <c r="AP70" i="8"/>
  <c r="AO70" i="8" s="1"/>
  <c r="AV70" i="8"/>
  <c r="DK70" i="8"/>
  <c r="AY70" i="8"/>
  <c r="DT70" i="8"/>
  <c r="AX70" i="8"/>
  <c r="DQ70" i="8"/>
  <c r="Q72" i="8"/>
  <c r="V71" i="8"/>
  <c r="AH71" i="8" s="1"/>
  <c r="AA71" i="8"/>
  <c r="T71" i="8"/>
  <c r="AE71" i="8" s="1"/>
  <c r="U71" i="8"/>
  <c r="AF71" i="8" s="1"/>
  <c r="Z71" i="8"/>
  <c r="AM71" i="8" s="1"/>
  <c r="AU71" i="8" s="1"/>
  <c r="X71" i="8"/>
  <c r="AK71" i="8" s="1"/>
  <c r="Y71" i="8"/>
  <c r="AL71" i="8" s="1"/>
  <c r="S71" i="8"/>
  <c r="AC71" i="8" s="1"/>
  <c r="W71" i="8"/>
  <c r="AI71" i="8" s="1"/>
  <c r="R71" i="8"/>
  <c r="AB71" i="8" s="1"/>
  <c r="AD70" i="8"/>
  <c r="AG70" i="8" s="1"/>
  <c r="AJ70" i="8" s="1"/>
  <c r="AN70" i="8"/>
  <c r="BQ70" i="8" s="1"/>
  <c r="CI70" i="8" s="1"/>
  <c r="DI69" i="8"/>
  <c r="DL69" i="8" s="1"/>
  <c r="DO69" i="8" s="1"/>
  <c r="DR69" i="8" s="1"/>
  <c r="DU69" i="8" s="1"/>
  <c r="AS70" i="8"/>
  <c r="BU70" i="8"/>
  <c r="BV70" i="8"/>
  <c r="AT70" i="8"/>
  <c r="AQ70" i="8"/>
  <c r="BR70" i="8"/>
  <c r="BS70" i="8"/>
  <c r="BT70" i="8"/>
  <c r="AR70" i="8"/>
  <c r="BI70" i="8" l="1"/>
  <c r="BH69" i="8"/>
  <c r="BJ69" i="8" s="1"/>
  <c r="DI70" i="8"/>
  <c r="DL70" i="8" s="1"/>
  <c r="DO70" i="8" s="1"/>
  <c r="DR70" i="8" s="1"/>
  <c r="DU70" i="8" s="1"/>
  <c r="AW71" i="8"/>
  <c r="DN71" i="8"/>
  <c r="AD71" i="8"/>
  <c r="AG71" i="8" s="1"/>
  <c r="AJ71" i="8" s="1"/>
  <c r="AN71" i="8"/>
  <c r="BQ71" i="8" s="1"/>
  <c r="CI71" i="8" s="1"/>
  <c r="DQ71" i="8"/>
  <c r="AX71" i="8"/>
  <c r="DW70" i="8"/>
  <c r="AV71" i="8"/>
  <c r="AP71" i="8"/>
  <c r="BI71" i="8" s="1"/>
  <c r="DK71" i="8"/>
  <c r="X72" i="8"/>
  <c r="AK72" i="8" s="1"/>
  <c r="T72" i="8"/>
  <c r="AE72" i="8" s="1"/>
  <c r="Q73" i="8"/>
  <c r="V72" i="8"/>
  <c r="AH72" i="8" s="1"/>
  <c r="AA72" i="8"/>
  <c r="Y72" i="8"/>
  <c r="AL72" i="8" s="1"/>
  <c r="Z72" i="8"/>
  <c r="AM72" i="8" s="1"/>
  <c r="AU72" i="8" s="1"/>
  <c r="R72" i="8"/>
  <c r="AB72" i="8" s="1"/>
  <c r="W72" i="8"/>
  <c r="AI72" i="8" s="1"/>
  <c r="U72" i="8"/>
  <c r="AF72" i="8" s="1"/>
  <c r="S72" i="8"/>
  <c r="AC72" i="8" s="1"/>
  <c r="AY71" i="8"/>
  <c r="DT71" i="8"/>
  <c r="AR71" i="8"/>
  <c r="BT71" i="8"/>
  <c r="BR71" i="8"/>
  <c r="AQ71" i="8"/>
  <c r="BS71" i="8"/>
  <c r="AT71" i="8"/>
  <c r="BV71" i="8"/>
  <c r="BU71" i="8"/>
  <c r="AS71" i="8"/>
  <c r="AO71" i="8" l="1"/>
  <c r="BH70" i="8"/>
  <c r="BJ70" i="8" s="1"/>
  <c r="DQ72" i="8"/>
  <c r="AX72" i="8"/>
  <c r="DI71" i="8"/>
  <c r="DL71" i="8" s="1"/>
  <c r="DO71" i="8" s="1"/>
  <c r="DR71" i="8" s="1"/>
  <c r="DU71" i="8" s="1"/>
  <c r="DW71" i="8"/>
  <c r="AY72" i="8"/>
  <c r="DT72" i="8"/>
  <c r="AN72" i="8"/>
  <c r="BQ72" i="8" s="1"/>
  <c r="CI72" i="8" s="1"/>
  <c r="AD72" i="8"/>
  <c r="AG72" i="8" s="1"/>
  <c r="AJ72" i="8" s="1"/>
  <c r="DK72" i="8"/>
  <c r="AV72" i="8"/>
  <c r="AP72" i="8"/>
  <c r="Y73" i="8"/>
  <c r="AL73" i="8" s="1"/>
  <c r="W73" i="8"/>
  <c r="AI73" i="8" s="1"/>
  <c r="AA73" i="8"/>
  <c r="S73" i="8"/>
  <c r="AC73" i="8" s="1"/>
  <c r="T73" i="8"/>
  <c r="AE73" i="8" s="1"/>
  <c r="X73" i="8"/>
  <c r="AK73" i="8" s="1"/>
  <c r="U73" i="8"/>
  <c r="AF73" i="8" s="1"/>
  <c r="Q74" i="8"/>
  <c r="R73" i="8"/>
  <c r="AB73" i="8" s="1"/>
  <c r="Z73" i="8"/>
  <c r="AM73" i="8" s="1"/>
  <c r="AU73" i="8" s="1"/>
  <c r="V73" i="8"/>
  <c r="AH73" i="8" s="1"/>
  <c r="AW72" i="8"/>
  <c r="DN72" i="8"/>
  <c r="BT72" i="8"/>
  <c r="AR72" i="8"/>
  <c r="BU72" i="8"/>
  <c r="AS72" i="8"/>
  <c r="AT72" i="8"/>
  <c r="BV72" i="8"/>
  <c r="BR72" i="8"/>
  <c r="AQ72" i="8"/>
  <c r="BS72" i="8"/>
  <c r="AO72" i="8" l="1"/>
  <c r="BI72" i="8"/>
  <c r="BH71" i="8"/>
  <c r="BJ71" i="8" s="1"/>
  <c r="AW73" i="8"/>
  <c r="DN73" i="8"/>
  <c r="DK73" i="8"/>
  <c r="AP73" i="8"/>
  <c r="AV73" i="8"/>
  <c r="DI72" i="8"/>
  <c r="DL72" i="8" s="1"/>
  <c r="DO72" i="8" s="1"/>
  <c r="DR72" i="8" s="1"/>
  <c r="DU72" i="8" s="1"/>
  <c r="AN73" i="8"/>
  <c r="BQ73" i="8" s="1"/>
  <c r="CI73" i="8" s="1"/>
  <c r="AD73" i="8"/>
  <c r="AG73" i="8" s="1"/>
  <c r="AJ73" i="8" s="1"/>
  <c r="AX73" i="8"/>
  <c r="DQ73" i="8"/>
  <c r="AY73" i="8"/>
  <c r="DT73" i="8"/>
  <c r="W74" i="8"/>
  <c r="AI74" i="8" s="1"/>
  <c r="U74" i="8"/>
  <c r="AF74" i="8" s="1"/>
  <c r="S74" i="8"/>
  <c r="AC74" i="8" s="1"/>
  <c r="R74" i="8"/>
  <c r="AB74" i="8" s="1"/>
  <c r="AA74" i="8"/>
  <c r="V74" i="8"/>
  <c r="AH74" i="8" s="1"/>
  <c r="Z74" i="8"/>
  <c r="AM74" i="8" s="1"/>
  <c r="AU74" i="8" s="1"/>
  <c r="Y74" i="8"/>
  <c r="AL74" i="8" s="1"/>
  <c r="Q75" i="8"/>
  <c r="T74" i="8"/>
  <c r="AE74" i="8" s="1"/>
  <c r="X74" i="8"/>
  <c r="AK74" i="8" s="1"/>
  <c r="DW72" i="8"/>
  <c r="BU73" i="8"/>
  <c r="AS73" i="8"/>
  <c r="BR73" i="8"/>
  <c r="BS73" i="8"/>
  <c r="AQ73" i="8"/>
  <c r="AT73" i="8"/>
  <c r="BV73" i="8"/>
  <c r="BT73" i="8"/>
  <c r="AR73" i="8"/>
  <c r="BI73" i="8" l="1"/>
  <c r="AO73" i="8"/>
  <c r="BH72" i="8"/>
  <c r="BJ72" i="8" s="1"/>
  <c r="AP74" i="8"/>
  <c r="BI74" i="8" s="1"/>
  <c r="DK74" i="8"/>
  <c r="AV74" i="8"/>
  <c r="DI73" i="8"/>
  <c r="DL73" i="8" s="1"/>
  <c r="DO73" i="8" s="1"/>
  <c r="DR73" i="8" s="1"/>
  <c r="DU73" i="8" s="1"/>
  <c r="DN74" i="8"/>
  <c r="AW74" i="8"/>
  <c r="AY74" i="8"/>
  <c r="DT74" i="8"/>
  <c r="DW73" i="8"/>
  <c r="DQ74" i="8"/>
  <c r="AX74" i="8"/>
  <c r="W75" i="8"/>
  <c r="AI75" i="8" s="1"/>
  <c r="Q76" i="8"/>
  <c r="Z75" i="8"/>
  <c r="AM75" i="8" s="1"/>
  <c r="AU75" i="8" s="1"/>
  <c r="R75" i="8"/>
  <c r="AB75" i="8" s="1"/>
  <c r="AA75" i="8"/>
  <c r="V75" i="8"/>
  <c r="AH75" i="8" s="1"/>
  <c r="X75" i="8"/>
  <c r="AK75" i="8" s="1"/>
  <c r="U75" i="8"/>
  <c r="AF75" i="8" s="1"/>
  <c r="Y75" i="8"/>
  <c r="AL75" i="8" s="1"/>
  <c r="T75" i="8"/>
  <c r="AE75" i="8" s="1"/>
  <c r="S75" i="8"/>
  <c r="AC75" i="8" s="1"/>
  <c r="AD74" i="8"/>
  <c r="AG74" i="8" s="1"/>
  <c r="AJ74" i="8" s="1"/>
  <c r="AN74" i="8"/>
  <c r="BQ74" i="8" s="1"/>
  <c r="CI74" i="8" s="1"/>
  <c r="AR74" i="8"/>
  <c r="BT74" i="8"/>
  <c r="BV74" i="8"/>
  <c r="AT74" i="8"/>
  <c r="AS74" i="8"/>
  <c r="BU74" i="8"/>
  <c r="BR74" i="8"/>
  <c r="BS74" i="8"/>
  <c r="AQ74" i="8"/>
  <c r="AO74" i="8" l="1"/>
  <c r="BH73" i="8"/>
  <c r="BJ73" i="8" s="1"/>
  <c r="AV75" i="8"/>
  <c r="AP75" i="8"/>
  <c r="DK75" i="8"/>
  <c r="Z76" i="8"/>
  <c r="AM76" i="8" s="1"/>
  <c r="AU76" i="8" s="1"/>
  <c r="S76" i="8"/>
  <c r="AC76" i="8" s="1"/>
  <c r="U76" i="8"/>
  <c r="AF76" i="8" s="1"/>
  <c r="R76" i="8"/>
  <c r="AB76" i="8" s="1"/>
  <c r="X76" i="8"/>
  <c r="AK76" i="8" s="1"/>
  <c r="Q77" i="8"/>
  <c r="AA76" i="8"/>
  <c r="Y76" i="8"/>
  <c r="AL76" i="8" s="1"/>
  <c r="W76" i="8"/>
  <c r="AI76" i="8" s="1"/>
  <c r="V76" i="8"/>
  <c r="AH76" i="8" s="1"/>
  <c r="T76" i="8"/>
  <c r="AE76" i="8" s="1"/>
  <c r="AY75" i="8"/>
  <c r="DT75" i="8"/>
  <c r="DQ75" i="8"/>
  <c r="AX75" i="8"/>
  <c r="DN75" i="8"/>
  <c r="AW75" i="8"/>
  <c r="DI74" i="8"/>
  <c r="DL74" i="8" s="1"/>
  <c r="DO74" i="8" s="1"/>
  <c r="DR74" i="8" s="1"/>
  <c r="DU74" i="8" s="1"/>
  <c r="AD75" i="8"/>
  <c r="AG75" i="8" s="1"/>
  <c r="AJ75" i="8" s="1"/>
  <c r="AN75" i="8"/>
  <c r="BQ75" i="8" s="1"/>
  <c r="CI75" i="8" s="1"/>
  <c r="DW74" i="8"/>
  <c r="BR75" i="8"/>
  <c r="AQ75" i="8"/>
  <c r="BS75" i="8"/>
  <c r="AR75" i="8"/>
  <c r="BT75" i="8"/>
  <c r="AT75" i="8"/>
  <c r="BV75" i="8"/>
  <c r="AS75" i="8"/>
  <c r="BU75" i="8"/>
  <c r="BI75" i="8" l="1"/>
  <c r="BH74" i="8"/>
  <c r="BJ74" i="8" s="1"/>
  <c r="AO75" i="8"/>
  <c r="DN76" i="8"/>
  <c r="AW76" i="8"/>
  <c r="AP76" i="8"/>
  <c r="BI76" i="8" s="1"/>
  <c r="AV76" i="8"/>
  <c r="DK76" i="8"/>
  <c r="AY76" i="8"/>
  <c r="DT76" i="8"/>
  <c r="AN76" i="8"/>
  <c r="BQ76" i="8" s="1"/>
  <c r="CI76" i="8" s="1"/>
  <c r="AD76" i="8"/>
  <c r="AG76" i="8" s="1"/>
  <c r="AJ76" i="8" s="1"/>
  <c r="DW75" i="8"/>
  <c r="DQ76" i="8"/>
  <c r="AX76" i="8"/>
  <c r="DI75" i="8"/>
  <c r="DL75" i="8" s="1"/>
  <c r="DO75" i="8" s="1"/>
  <c r="DR75" i="8" s="1"/>
  <c r="DU75" i="8" s="1"/>
  <c r="Z77" i="8"/>
  <c r="AM77" i="8" s="1"/>
  <c r="AU77" i="8" s="1"/>
  <c r="T77" i="8"/>
  <c r="AE77" i="8" s="1"/>
  <c r="X77" i="8"/>
  <c r="AK77" i="8" s="1"/>
  <c r="U77" i="8"/>
  <c r="AF77" i="8" s="1"/>
  <c r="W77" i="8"/>
  <c r="AI77" i="8" s="1"/>
  <c r="S77" i="8"/>
  <c r="AC77" i="8" s="1"/>
  <c r="Y77" i="8"/>
  <c r="AL77" i="8" s="1"/>
  <c r="V77" i="8"/>
  <c r="AH77" i="8" s="1"/>
  <c r="AA77" i="8"/>
  <c r="Q78" i="8"/>
  <c r="R77" i="8"/>
  <c r="AB77" i="8" s="1"/>
  <c r="BS76" i="8"/>
  <c r="BR76" i="8"/>
  <c r="AQ76" i="8"/>
  <c r="AT76" i="8"/>
  <c r="BV76" i="8"/>
  <c r="AR76" i="8"/>
  <c r="BT76" i="8"/>
  <c r="BU76" i="8"/>
  <c r="AS76" i="8"/>
  <c r="AO76" i="8" l="1"/>
  <c r="BH75" i="8"/>
  <c r="BJ75" i="8" s="1"/>
  <c r="DW76" i="8"/>
  <c r="DQ77" i="8"/>
  <c r="AX77" i="8"/>
  <c r="AW77" i="8"/>
  <c r="DN77" i="8"/>
  <c r="Y78" i="8"/>
  <c r="AL78" i="8" s="1"/>
  <c r="T78" i="8"/>
  <c r="AE78" i="8" s="1"/>
  <c r="U78" i="8"/>
  <c r="AF78" i="8" s="1"/>
  <c r="R78" i="8"/>
  <c r="AB78" i="8" s="1"/>
  <c r="Z78" i="8"/>
  <c r="AM78" i="8" s="1"/>
  <c r="AU78" i="8" s="1"/>
  <c r="W78" i="8"/>
  <c r="AI78" i="8" s="1"/>
  <c r="S78" i="8"/>
  <c r="AC78" i="8" s="1"/>
  <c r="Q79" i="8"/>
  <c r="V78" i="8"/>
  <c r="AH78" i="8" s="1"/>
  <c r="X78" i="8"/>
  <c r="AK78" i="8" s="1"/>
  <c r="AA78" i="8"/>
  <c r="AD77" i="8"/>
  <c r="AG77" i="8" s="1"/>
  <c r="AJ77" i="8" s="1"/>
  <c r="AN77" i="8"/>
  <c r="BQ77" i="8" s="1"/>
  <c r="CI77" i="8" s="1"/>
  <c r="DI76" i="8"/>
  <c r="DL76" i="8" s="1"/>
  <c r="DO76" i="8" s="1"/>
  <c r="DR76" i="8" s="1"/>
  <c r="DU76" i="8" s="1"/>
  <c r="AY77" i="8"/>
  <c r="DT77" i="8"/>
  <c r="DK77" i="8"/>
  <c r="AP77" i="8"/>
  <c r="AV77" i="8"/>
  <c r="BU77" i="8"/>
  <c r="AS77" i="8"/>
  <c r="BT77" i="8"/>
  <c r="AR77" i="8"/>
  <c r="AQ77" i="8"/>
  <c r="BR77" i="8"/>
  <c r="BS77" i="8"/>
  <c r="BV77" i="8"/>
  <c r="AT77" i="8"/>
  <c r="BI77" i="8" l="1"/>
  <c r="BH76" i="8"/>
  <c r="BJ76" i="8" s="1"/>
  <c r="AO77" i="8"/>
  <c r="AN78" i="8"/>
  <c r="BQ78" i="8" s="1"/>
  <c r="CI78" i="8" s="1"/>
  <c r="AD78" i="8"/>
  <c r="AG78" i="8" s="1"/>
  <c r="AJ78" i="8" s="1"/>
  <c r="DN78" i="8"/>
  <c r="AW78" i="8"/>
  <c r="AY78" i="8"/>
  <c r="DT78" i="8"/>
  <c r="W79" i="8"/>
  <c r="AI79" i="8" s="1"/>
  <c r="Z79" i="8"/>
  <c r="AM79" i="8" s="1"/>
  <c r="AU79" i="8" s="1"/>
  <c r="V79" i="8"/>
  <c r="AH79" i="8" s="1"/>
  <c r="Y79" i="8"/>
  <c r="AL79" i="8" s="1"/>
  <c r="U79" i="8"/>
  <c r="AF79" i="8" s="1"/>
  <c r="AA79" i="8"/>
  <c r="T79" i="8"/>
  <c r="AE79" i="8" s="1"/>
  <c r="R79" i="8"/>
  <c r="AB79" i="8" s="1"/>
  <c r="Q80" i="8"/>
  <c r="X79" i="8"/>
  <c r="AK79" i="8" s="1"/>
  <c r="S79" i="8"/>
  <c r="AC79" i="8" s="1"/>
  <c r="AV78" i="8"/>
  <c r="DK78" i="8"/>
  <c r="AP78" i="8"/>
  <c r="BI78" i="8" s="1"/>
  <c r="DQ78" i="8"/>
  <c r="AX78" i="8"/>
  <c r="DW77" i="8"/>
  <c r="DI77" i="8"/>
  <c r="DL77" i="8" s="1"/>
  <c r="DO77" i="8" s="1"/>
  <c r="DR77" i="8" s="1"/>
  <c r="DU77" i="8" s="1"/>
  <c r="AR78" i="8"/>
  <c r="BT78" i="8"/>
  <c r="AS78" i="8"/>
  <c r="BU78" i="8"/>
  <c r="BV78" i="8"/>
  <c r="AT78" i="8"/>
  <c r="AQ78" i="8"/>
  <c r="BS78" i="8"/>
  <c r="BR78" i="8"/>
  <c r="BH77" i="8" l="1"/>
  <c r="BJ77" i="8" s="1"/>
  <c r="AO78" i="8"/>
  <c r="AN79" i="8"/>
  <c r="BQ79" i="8" s="1"/>
  <c r="CI79" i="8" s="1"/>
  <c r="AD79" i="8"/>
  <c r="AG79" i="8" s="1"/>
  <c r="AJ79" i="8" s="1"/>
  <c r="AW79" i="8"/>
  <c r="DN79" i="8"/>
  <c r="AY79" i="8"/>
  <c r="DT79" i="8"/>
  <c r="AP79" i="8"/>
  <c r="AV79" i="8"/>
  <c r="DK79" i="8"/>
  <c r="DI78" i="8"/>
  <c r="DL78" i="8" s="1"/>
  <c r="DO78" i="8" s="1"/>
  <c r="DR78" i="8" s="1"/>
  <c r="DU78" i="8" s="1"/>
  <c r="Q81" i="8"/>
  <c r="R80" i="8"/>
  <c r="AB80" i="8" s="1"/>
  <c r="AA80" i="8"/>
  <c r="V80" i="8"/>
  <c r="AH80" i="8" s="1"/>
  <c r="W80" i="8"/>
  <c r="AI80" i="8" s="1"/>
  <c r="X80" i="8"/>
  <c r="AK80" i="8" s="1"/>
  <c r="Y80" i="8"/>
  <c r="AL80" i="8" s="1"/>
  <c r="Z80" i="8"/>
  <c r="AM80" i="8" s="1"/>
  <c r="AU80" i="8" s="1"/>
  <c r="U80" i="8"/>
  <c r="AF80" i="8" s="1"/>
  <c r="S80" i="8"/>
  <c r="AC80" i="8" s="1"/>
  <c r="T80" i="8"/>
  <c r="AE80" i="8" s="1"/>
  <c r="AX79" i="8"/>
  <c r="DQ79" i="8"/>
  <c r="DW78" i="8"/>
  <c r="AS79" i="8"/>
  <c r="BU79" i="8"/>
  <c r="BT79" i="8"/>
  <c r="AR79" i="8"/>
  <c r="AQ79" i="8"/>
  <c r="BR79" i="8"/>
  <c r="BS79" i="8"/>
  <c r="AT79" i="8"/>
  <c r="BV79" i="8"/>
  <c r="AO79" i="8" l="1"/>
  <c r="BI79" i="8"/>
  <c r="BH78" i="8"/>
  <c r="BJ78" i="8" s="1"/>
  <c r="DW79" i="8"/>
  <c r="AX80" i="8"/>
  <c r="DQ80" i="8"/>
  <c r="AD80" i="8"/>
  <c r="AG80" i="8" s="1"/>
  <c r="AJ80" i="8" s="1"/>
  <c r="AN80" i="8"/>
  <c r="BQ80" i="8" s="1"/>
  <c r="CI80" i="8" s="1"/>
  <c r="AP80" i="8"/>
  <c r="DK80" i="8"/>
  <c r="AV80" i="8"/>
  <c r="DI79" i="8"/>
  <c r="DL79" i="8" s="1"/>
  <c r="DO79" i="8" s="1"/>
  <c r="DR79" i="8" s="1"/>
  <c r="DU79" i="8" s="1"/>
  <c r="DN80" i="8"/>
  <c r="AW80" i="8"/>
  <c r="AA81" i="8"/>
  <c r="T81" i="8"/>
  <c r="AE81" i="8" s="1"/>
  <c r="Y81" i="8"/>
  <c r="AL81" i="8" s="1"/>
  <c r="X81" i="8"/>
  <c r="AK81" i="8" s="1"/>
  <c r="U81" i="8"/>
  <c r="AF81" i="8" s="1"/>
  <c r="S81" i="8"/>
  <c r="AC81" i="8" s="1"/>
  <c r="Z81" i="8"/>
  <c r="AM81" i="8" s="1"/>
  <c r="AU81" i="8" s="1"/>
  <c r="R81" i="8"/>
  <c r="AB81" i="8" s="1"/>
  <c r="Q82" i="8"/>
  <c r="V81" i="8"/>
  <c r="AH81" i="8" s="1"/>
  <c r="W81" i="8"/>
  <c r="AI81" i="8" s="1"/>
  <c r="DT80" i="8"/>
  <c r="AY80" i="8"/>
  <c r="AR80" i="8"/>
  <c r="BT80" i="8"/>
  <c r="AT80" i="8"/>
  <c r="BV80" i="8"/>
  <c r="BU80" i="8"/>
  <c r="AS80" i="8"/>
  <c r="AQ80" i="8"/>
  <c r="BS80" i="8"/>
  <c r="BR80" i="8"/>
  <c r="BI80" i="8" l="1"/>
  <c r="BH79" i="8"/>
  <c r="BJ79" i="8" s="1"/>
  <c r="AO80" i="8"/>
  <c r="AW81" i="8"/>
  <c r="DN81" i="8"/>
  <c r="DQ81" i="8"/>
  <c r="AX81" i="8"/>
  <c r="DT81" i="8"/>
  <c r="AY81" i="8"/>
  <c r="DW80" i="8"/>
  <c r="S82" i="8"/>
  <c r="AC82" i="8" s="1"/>
  <c r="V82" i="8"/>
  <c r="AH82" i="8" s="1"/>
  <c r="X82" i="8"/>
  <c r="AK82" i="8" s="1"/>
  <c r="AA82" i="8"/>
  <c r="Q83" i="8"/>
  <c r="Z82" i="8"/>
  <c r="AM82" i="8" s="1"/>
  <c r="AU82" i="8" s="1"/>
  <c r="T82" i="8"/>
  <c r="AE82" i="8" s="1"/>
  <c r="Y82" i="8"/>
  <c r="AL82" i="8" s="1"/>
  <c r="W82" i="8"/>
  <c r="AI82" i="8" s="1"/>
  <c r="U82" i="8"/>
  <c r="AF82" i="8" s="1"/>
  <c r="R82" i="8"/>
  <c r="AB82" i="8" s="1"/>
  <c r="AD81" i="8"/>
  <c r="AG81" i="8" s="1"/>
  <c r="AJ81" i="8" s="1"/>
  <c r="AN81" i="8"/>
  <c r="BQ81" i="8" s="1"/>
  <c r="CI81" i="8" s="1"/>
  <c r="DI80" i="8"/>
  <c r="DL80" i="8" s="1"/>
  <c r="DO80" i="8" s="1"/>
  <c r="DR80" i="8" s="1"/>
  <c r="DU80" i="8" s="1"/>
  <c r="AP81" i="8"/>
  <c r="DK81" i="8"/>
  <c r="AV81" i="8"/>
  <c r="AR81" i="8"/>
  <c r="BT81" i="8"/>
  <c r="BV81" i="8"/>
  <c r="AT81" i="8"/>
  <c r="BR81" i="8"/>
  <c r="AQ81" i="8"/>
  <c r="BS81" i="8"/>
  <c r="BU81" i="8"/>
  <c r="AS81" i="8"/>
  <c r="BI81" i="8" l="1"/>
  <c r="AO81" i="8"/>
  <c r="BH80" i="8"/>
  <c r="BJ80" i="8" s="1"/>
  <c r="DI81" i="8"/>
  <c r="DL81" i="8" s="1"/>
  <c r="DO81" i="8" s="1"/>
  <c r="DR81" i="8" s="1"/>
  <c r="DU81" i="8" s="1"/>
  <c r="S83" i="8"/>
  <c r="AC83" i="8" s="1"/>
  <c r="V83" i="8"/>
  <c r="AH83" i="8" s="1"/>
  <c r="U83" i="8"/>
  <c r="AF83" i="8" s="1"/>
  <c r="AA83" i="8"/>
  <c r="X83" i="8"/>
  <c r="AK83" i="8" s="1"/>
  <c r="Q84" i="8"/>
  <c r="R83" i="8"/>
  <c r="AB83" i="8" s="1"/>
  <c r="Z83" i="8"/>
  <c r="AM83" i="8" s="1"/>
  <c r="AU83" i="8" s="1"/>
  <c r="T83" i="8"/>
  <c r="AE83" i="8" s="1"/>
  <c r="W83" i="8"/>
  <c r="AI83" i="8" s="1"/>
  <c r="Y83" i="8"/>
  <c r="AL83" i="8" s="1"/>
  <c r="AD82" i="8"/>
  <c r="AG82" i="8" s="1"/>
  <c r="AJ82" i="8" s="1"/>
  <c r="AN82" i="8"/>
  <c r="BQ82" i="8" s="1"/>
  <c r="CI82" i="8" s="1"/>
  <c r="DN82" i="8"/>
  <c r="AW82" i="8"/>
  <c r="AX82" i="8"/>
  <c r="DQ82" i="8"/>
  <c r="DK82" i="8"/>
  <c r="AP82" i="8"/>
  <c r="AV82" i="8"/>
  <c r="DW81" i="8"/>
  <c r="DT82" i="8"/>
  <c r="AY82" i="8"/>
  <c r="AT82" i="8"/>
  <c r="BV82" i="8"/>
  <c r="AR82" i="8"/>
  <c r="BT82" i="8"/>
  <c r="BR82" i="8"/>
  <c r="AQ82" i="8"/>
  <c r="BS82" i="8"/>
  <c r="AS82" i="8"/>
  <c r="BU82" i="8"/>
  <c r="BI82" i="8" l="1"/>
  <c r="AO82" i="8"/>
  <c r="BH81" i="8"/>
  <c r="BJ81" i="8" s="1"/>
  <c r="DW82" i="8"/>
  <c r="AN83" i="8"/>
  <c r="BQ83" i="8" s="1"/>
  <c r="CI83" i="8" s="1"/>
  <c r="AD83" i="8"/>
  <c r="AG83" i="8" s="1"/>
  <c r="AJ83" i="8" s="1"/>
  <c r="DT83" i="8"/>
  <c r="AY83" i="8"/>
  <c r="AW83" i="8"/>
  <c r="DN83" i="8"/>
  <c r="DQ83" i="8"/>
  <c r="AX83" i="8"/>
  <c r="AP83" i="8"/>
  <c r="DK83" i="8"/>
  <c r="AV83" i="8"/>
  <c r="DI82" i="8"/>
  <c r="DL82" i="8" s="1"/>
  <c r="DO82" i="8" s="1"/>
  <c r="DR82" i="8" s="1"/>
  <c r="DU82" i="8" s="1"/>
  <c r="AA84" i="8"/>
  <c r="T84" i="8"/>
  <c r="AE84" i="8" s="1"/>
  <c r="Z84" i="8"/>
  <c r="AM84" i="8" s="1"/>
  <c r="AU84" i="8" s="1"/>
  <c r="V84" i="8"/>
  <c r="AH84" i="8" s="1"/>
  <c r="Y84" i="8"/>
  <c r="AL84" i="8" s="1"/>
  <c r="S84" i="8"/>
  <c r="AC84" i="8" s="1"/>
  <c r="U84" i="8"/>
  <c r="AF84" i="8" s="1"/>
  <c r="R84" i="8"/>
  <c r="AB84" i="8" s="1"/>
  <c r="Q85" i="8"/>
  <c r="W84" i="8"/>
  <c r="AI84" i="8" s="1"/>
  <c r="X84" i="8"/>
  <c r="AK84" i="8" s="1"/>
  <c r="BU83" i="8"/>
  <c r="AS83" i="8"/>
  <c r="BV83" i="8"/>
  <c r="AT83" i="8"/>
  <c r="AR83" i="8"/>
  <c r="BT83" i="8"/>
  <c r="BR83" i="8"/>
  <c r="BS83" i="8"/>
  <c r="AQ83" i="8"/>
  <c r="AO83" i="8" l="1"/>
  <c r="BI83" i="8"/>
  <c r="BH82" i="8"/>
  <c r="BJ82" i="8" s="1"/>
  <c r="AW84" i="8"/>
  <c r="DN84" i="8"/>
  <c r="DK84" i="8"/>
  <c r="AV84" i="8"/>
  <c r="AP84" i="8"/>
  <c r="BI84" i="8" s="1"/>
  <c r="DT84" i="8"/>
  <c r="AY84" i="8"/>
  <c r="DW83" i="8"/>
  <c r="DI83" i="8"/>
  <c r="DL83" i="8" s="1"/>
  <c r="DO83" i="8" s="1"/>
  <c r="DR83" i="8" s="1"/>
  <c r="DU83" i="8" s="1"/>
  <c r="DQ84" i="8"/>
  <c r="AX84" i="8"/>
  <c r="Z85" i="8"/>
  <c r="AM85" i="8" s="1"/>
  <c r="AU85" i="8" s="1"/>
  <c r="V85" i="8"/>
  <c r="AH85" i="8" s="1"/>
  <c r="R85" i="8"/>
  <c r="AB85" i="8" s="1"/>
  <c r="Y85" i="8"/>
  <c r="AL85" i="8" s="1"/>
  <c r="W85" i="8"/>
  <c r="AI85" i="8" s="1"/>
  <c r="AA85" i="8"/>
  <c r="U85" i="8"/>
  <c r="AF85" i="8" s="1"/>
  <c r="X85" i="8"/>
  <c r="AK85" i="8" s="1"/>
  <c r="Q86" i="8"/>
  <c r="T85" i="8"/>
  <c r="AE85" i="8" s="1"/>
  <c r="S85" i="8"/>
  <c r="AC85" i="8" s="1"/>
  <c r="AN84" i="8"/>
  <c r="BQ84" i="8" s="1"/>
  <c r="CI84" i="8" s="1"/>
  <c r="AD84" i="8"/>
  <c r="AG84" i="8" s="1"/>
  <c r="AJ84" i="8" s="1"/>
  <c r="BU84" i="8"/>
  <c r="AS84" i="8"/>
  <c r="AQ84" i="8"/>
  <c r="BR84" i="8"/>
  <c r="BS84" i="8"/>
  <c r="AT84" i="8"/>
  <c r="BV84" i="8"/>
  <c r="AR84" i="8"/>
  <c r="BT84" i="8"/>
  <c r="AO84" i="8" l="1"/>
  <c r="BH83" i="8"/>
  <c r="BJ83" i="8" s="1"/>
  <c r="DN85" i="8"/>
  <c r="AW85" i="8"/>
  <c r="AN85" i="8"/>
  <c r="BQ85" i="8" s="1"/>
  <c r="CI85" i="8" s="1"/>
  <c r="AD85" i="8"/>
  <c r="AG85" i="8" s="1"/>
  <c r="AJ85" i="8" s="1"/>
  <c r="DQ85" i="8"/>
  <c r="AX85" i="8"/>
  <c r="DW84" i="8"/>
  <c r="AY85" i="8"/>
  <c r="DT85" i="8"/>
  <c r="AP85" i="8"/>
  <c r="AV85" i="8"/>
  <c r="DK85" i="8"/>
  <c r="DI84" i="8"/>
  <c r="DL84" i="8" s="1"/>
  <c r="DO84" i="8" s="1"/>
  <c r="DR84" i="8" s="1"/>
  <c r="DU84" i="8" s="1"/>
  <c r="Z86" i="8"/>
  <c r="AM86" i="8" s="1"/>
  <c r="AU86" i="8" s="1"/>
  <c r="W86" i="8"/>
  <c r="AI86" i="8" s="1"/>
  <c r="Q87" i="8"/>
  <c r="AA86" i="8"/>
  <c r="X86" i="8"/>
  <c r="AK86" i="8" s="1"/>
  <c r="S86" i="8"/>
  <c r="AC86" i="8" s="1"/>
  <c r="U86" i="8"/>
  <c r="AF86" i="8" s="1"/>
  <c r="R86" i="8"/>
  <c r="AB86" i="8" s="1"/>
  <c r="T86" i="8"/>
  <c r="AE86" i="8" s="1"/>
  <c r="Y86" i="8"/>
  <c r="AL86" i="8" s="1"/>
  <c r="V86" i="8"/>
  <c r="AH86" i="8" s="1"/>
  <c r="AS85" i="8"/>
  <c r="BU85" i="8"/>
  <c r="AR85" i="8"/>
  <c r="BT85" i="8"/>
  <c r="BS85" i="8"/>
  <c r="BR85" i="8"/>
  <c r="AQ85" i="8"/>
  <c r="BV85" i="8"/>
  <c r="AT85" i="8"/>
  <c r="AO85" i="8" l="1"/>
  <c r="BI85" i="8"/>
  <c r="BH84" i="8"/>
  <c r="BJ84" i="8" s="1"/>
  <c r="AN86" i="8"/>
  <c r="BQ86" i="8" s="1"/>
  <c r="CI86" i="8" s="1"/>
  <c r="AD86" i="8"/>
  <c r="AG86" i="8" s="1"/>
  <c r="AJ86" i="8" s="1"/>
  <c r="U87" i="8"/>
  <c r="AF87" i="8" s="1"/>
  <c r="W87" i="8"/>
  <c r="AI87" i="8" s="1"/>
  <c r="X87" i="8"/>
  <c r="AK87" i="8" s="1"/>
  <c r="AA87" i="8"/>
  <c r="V87" i="8"/>
  <c r="AH87" i="8" s="1"/>
  <c r="Y87" i="8"/>
  <c r="AL87" i="8" s="1"/>
  <c r="S87" i="8"/>
  <c r="AC87" i="8" s="1"/>
  <c r="Q88" i="8"/>
  <c r="R87" i="8"/>
  <c r="AB87" i="8" s="1"/>
  <c r="Z87" i="8"/>
  <c r="AM87" i="8" s="1"/>
  <c r="AU87" i="8" s="1"/>
  <c r="T87" i="8"/>
  <c r="AE87" i="8" s="1"/>
  <c r="DT86" i="8"/>
  <c r="AY86" i="8"/>
  <c r="DQ86" i="8"/>
  <c r="AX86" i="8"/>
  <c r="DW85" i="8"/>
  <c r="DI85" i="8"/>
  <c r="DL85" i="8" s="1"/>
  <c r="DO85" i="8" s="1"/>
  <c r="DR85" i="8" s="1"/>
  <c r="DU85" i="8" s="1"/>
  <c r="AW86" i="8"/>
  <c r="DN86" i="8"/>
  <c r="DK86" i="8"/>
  <c r="AP86" i="8"/>
  <c r="AV86" i="8"/>
  <c r="BV86" i="8"/>
  <c r="AT86" i="8"/>
  <c r="BT86" i="8"/>
  <c r="AR86" i="8"/>
  <c r="BU86" i="8"/>
  <c r="AS86" i="8"/>
  <c r="AQ86" i="8"/>
  <c r="BR86" i="8"/>
  <c r="BS86" i="8"/>
  <c r="BI86" i="8" l="1"/>
  <c r="BH85" i="8"/>
  <c r="BJ85" i="8" s="1"/>
  <c r="AX87" i="8"/>
  <c r="DQ87" i="8"/>
  <c r="AN87" i="8"/>
  <c r="BQ87" i="8" s="1"/>
  <c r="CI87" i="8" s="1"/>
  <c r="AD87" i="8"/>
  <c r="AG87" i="8" s="1"/>
  <c r="AJ87" i="8" s="1"/>
  <c r="DW86" i="8"/>
  <c r="AW87" i="8"/>
  <c r="DN87" i="8"/>
  <c r="AO86" i="8"/>
  <c r="W88" i="8"/>
  <c r="AI88" i="8" s="1"/>
  <c r="U88" i="8"/>
  <c r="AF88" i="8" s="1"/>
  <c r="S88" i="8"/>
  <c r="AC88" i="8" s="1"/>
  <c r="X88" i="8"/>
  <c r="AK88" i="8" s="1"/>
  <c r="Q89" i="8"/>
  <c r="R88" i="8"/>
  <c r="AB88" i="8" s="1"/>
  <c r="AA88" i="8"/>
  <c r="T88" i="8"/>
  <c r="AE88" i="8" s="1"/>
  <c r="V88" i="8"/>
  <c r="AH88" i="8" s="1"/>
  <c r="Z88" i="8"/>
  <c r="AM88" i="8" s="1"/>
  <c r="Y88" i="8"/>
  <c r="AL88" i="8" s="1"/>
  <c r="DK87" i="8"/>
  <c r="AV87" i="8"/>
  <c r="AP87" i="8"/>
  <c r="DI86" i="8"/>
  <c r="DL86" i="8" s="1"/>
  <c r="DO86" i="8" s="1"/>
  <c r="DR86" i="8" s="1"/>
  <c r="DU86" i="8" s="1"/>
  <c r="DT87" i="8"/>
  <c r="AY87" i="8"/>
  <c r="BS87" i="8"/>
  <c r="BR87" i="8"/>
  <c r="AQ87" i="8"/>
  <c r="AR87" i="8"/>
  <c r="BT87" i="8"/>
  <c r="AT87" i="8"/>
  <c r="BV87" i="8"/>
  <c r="BU87" i="8"/>
  <c r="AS87" i="8"/>
  <c r="BI87" i="8" l="1"/>
  <c r="DW87" i="8"/>
  <c r="BH86" i="8"/>
  <c r="BJ86" i="8" s="1"/>
  <c r="AO87" i="8"/>
  <c r="V89" i="8"/>
  <c r="AH89" i="8" s="1"/>
  <c r="AA89" i="8"/>
  <c r="X89" i="8"/>
  <c r="AK89" i="8" s="1"/>
  <c r="Y89" i="8"/>
  <c r="AL89" i="8" s="1"/>
  <c r="Q90" i="8"/>
  <c r="R89" i="8"/>
  <c r="AB89" i="8" s="1"/>
  <c r="W89" i="8"/>
  <c r="AI89" i="8" s="1"/>
  <c r="Z89" i="8"/>
  <c r="AM89" i="8" s="1"/>
  <c r="AU89" i="8" s="1"/>
  <c r="T89" i="8"/>
  <c r="AE89" i="8" s="1"/>
  <c r="U89" i="8"/>
  <c r="AF89" i="8" s="1"/>
  <c r="S89" i="8"/>
  <c r="AC89" i="8" s="1"/>
  <c r="AY88" i="8"/>
  <c r="DT88" i="8"/>
  <c r="AV88" i="8"/>
  <c r="DK88" i="8"/>
  <c r="AP88" i="8"/>
  <c r="AU88" i="8"/>
  <c r="DN88" i="8"/>
  <c r="AW88" i="8"/>
  <c r="DQ88" i="8"/>
  <c r="AX88" i="8"/>
  <c r="DI87" i="8"/>
  <c r="DL87" i="8" s="1"/>
  <c r="DO87" i="8" s="1"/>
  <c r="DR87" i="8" s="1"/>
  <c r="DU87" i="8" s="1"/>
  <c r="AN88" i="8"/>
  <c r="BQ88" i="8" s="1"/>
  <c r="CI88" i="8" s="1"/>
  <c r="AD88" i="8"/>
  <c r="AG88" i="8" s="1"/>
  <c r="AJ88" i="8" s="1"/>
  <c r="BR88" i="8"/>
  <c r="AQ88" i="8"/>
  <c r="BS88" i="8"/>
  <c r="AS88" i="8"/>
  <c r="BU88" i="8"/>
  <c r="BT88" i="8"/>
  <c r="AR88" i="8"/>
  <c r="AT88" i="8"/>
  <c r="BV88" i="8"/>
  <c r="AO88" i="8" l="1"/>
  <c r="BI88" i="8"/>
  <c r="BH87" i="8"/>
  <c r="BJ87" i="8" s="1"/>
  <c r="Q91" i="8"/>
  <c r="T90" i="8"/>
  <c r="AE90" i="8" s="1"/>
  <c r="AA90" i="8"/>
  <c r="V90" i="8"/>
  <c r="AH90" i="8" s="1"/>
  <c r="Z90" i="8"/>
  <c r="AM90" i="8" s="1"/>
  <c r="AU90" i="8" s="1"/>
  <c r="R90" i="8"/>
  <c r="AB90" i="8" s="1"/>
  <c r="Y90" i="8"/>
  <c r="AL90" i="8" s="1"/>
  <c r="W90" i="8"/>
  <c r="AI90" i="8" s="1"/>
  <c r="U90" i="8"/>
  <c r="AF90" i="8" s="1"/>
  <c r="X90" i="8"/>
  <c r="AK90" i="8" s="1"/>
  <c r="S90" i="8"/>
  <c r="AC90" i="8" s="1"/>
  <c r="DI88" i="8"/>
  <c r="DL88" i="8" s="1"/>
  <c r="DO88" i="8" s="1"/>
  <c r="DR88" i="8" s="1"/>
  <c r="DU88" i="8" s="1"/>
  <c r="AY89" i="8"/>
  <c r="DT89" i="8"/>
  <c r="DK89" i="8"/>
  <c r="AP89" i="8"/>
  <c r="AV89" i="8"/>
  <c r="DN89" i="8"/>
  <c r="AW89" i="8"/>
  <c r="AD89" i="8"/>
  <c r="AG89" i="8" s="1"/>
  <c r="AJ89" i="8" s="1"/>
  <c r="AN89" i="8"/>
  <c r="BQ89" i="8" s="1"/>
  <c r="CI89" i="8" s="1"/>
  <c r="DW88" i="8"/>
  <c r="DQ89" i="8"/>
  <c r="AX89" i="8"/>
  <c r="AT89" i="8"/>
  <c r="BV89" i="8"/>
  <c r="BS89" i="8"/>
  <c r="AQ89" i="8"/>
  <c r="BR89" i="8"/>
  <c r="BT89" i="8"/>
  <c r="AR89" i="8"/>
  <c r="AS89" i="8"/>
  <c r="BU89" i="8"/>
  <c r="BI89" i="8" l="1"/>
  <c r="AO89" i="8"/>
  <c r="BH88" i="8"/>
  <c r="BJ88" i="8" s="1"/>
  <c r="AV90" i="8"/>
  <c r="AP90" i="8"/>
  <c r="BI90" i="8" s="1"/>
  <c r="DK90" i="8"/>
  <c r="AN90" i="8"/>
  <c r="BQ90" i="8" s="1"/>
  <c r="CI90" i="8" s="1"/>
  <c r="AD90" i="8"/>
  <c r="AG90" i="8" s="1"/>
  <c r="AJ90" i="8" s="1"/>
  <c r="DW89" i="8"/>
  <c r="DN90" i="8"/>
  <c r="AW90" i="8"/>
  <c r="AA91" i="8"/>
  <c r="R91" i="8"/>
  <c r="AB91" i="8" s="1"/>
  <c r="Z91" i="8"/>
  <c r="AM91" i="8" s="1"/>
  <c r="AU91" i="8" s="1"/>
  <c r="T91" i="8"/>
  <c r="AE91" i="8" s="1"/>
  <c r="W91" i="8"/>
  <c r="AI91" i="8" s="1"/>
  <c r="Y91" i="8"/>
  <c r="AL91" i="8" s="1"/>
  <c r="S91" i="8"/>
  <c r="AC91" i="8" s="1"/>
  <c r="U91" i="8"/>
  <c r="AF91" i="8" s="1"/>
  <c r="V91" i="8"/>
  <c r="AH91" i="8" s="1"/>
  <c r="Q92" i="8"/>
  <c r="X91" i="8"/>
  <c r="AK91" i="8" s="1"/>
  <c r="DI89" i="8"/>
  <c r="DL89" i="8" s="1"/>
  <c r="DO89" i="8" s="1"/>
  <c r="DR89" i="8" s="1"/>
  <c r="DU89" i="8" s="1"/>
  <c r="DQ90" i="8"/>
  <c r="AX90" i="8"/>
  <c r="AY90" i="8"/>
  <c r="DT90" i="8"/>
  <c r="AS90" i="8"/>
  <c r="BU90" i="8"/>
  <c r="BR90" i="8"/>
  <c r="AQ90" i="8"/>
  <c r="BS90" i="8"/>
  <c r="AT90" i="8"/>
  <c r="BV90" i="8"/>
  <c r="BT90" i="8"/>
  <c r="AR90" i="8"/>
  <c r="AO90" i="8" l="1"/>
  <c r="BH89" i="8"/>
  <c r="BJ89" i="8" s="1"/>
  <c r="AA92" i="8"/>
  <c r="T92" i="8"/>
  <c r="AE92" i="8" s="1"/>
  <c r="X92" i="8"/>
  <c r="AK92" i="8" s="1"/>
  <c r="W92" i="8"/>
  <c r="AI92" i="8" s="1"/>
  <c r="S92" i="8"/>
  <c r="AC92" i="8" s="1"/>
  <c r="Y92" i="8"/>
  <c r="AL92" i="8" s="1"/>
  <c r="Q93" i="8"/>
  <c r="Z92" i="8"/>
  <c r="AM92" i="8" s="1"/>
  <c r="AU92" i="8" s="1"/>
  <c r="V92" i="8"/>
  <c r="AH92" i="8" s="1"/>
  <c r="U92" i="8"/>
  <c r="AF92" i="8" s="1"/>
  <c r="R92" i="8"/>
  <c r="AB92" i="8" s="1"/>
  <c r="DI90" i="8"/>
  <c r="DL90" i="8" s="1"/>
  <c r="DO90" i="8" s="1"/>
  <c r="DR90" i="8" s="1"/>
  <c r="DU90" i="8" s="1"/>
  <c r="AD91" i="8"/>
  <c r="AG91" i="8" s="1"/>
  <c r="AJ91" i="8" s="1"/>
  <c r="AN91" i="8"/>
  <c r="BQ91" i="8" s="1"/>
  <c r="CI91" i="8" s="1"/>
  <c r="AW91" i="8"/>
  <c r="DN91" i="8"/>
  <c r="DW90" i="8"/>
  <c r="AP91" i="8"/>
  <c r="BI91" i="8" s="1"/>
  <c r="DK91" i="8"/>
  <c r="AV91" i="8"/>
  <c r="DT91" i="8"/>
  <c r="AY91" i="8"/>
  <c r="DQ91" i="8"/>
  <c r="AX91" i="8"/>
  <c r="AR91" i="8"/>
  <c r="BT91" i="8"/>
  <c r="AS91" i="8"/>
  <c r="BU91" i="8"/>
  <c r="BS91" i="8"/>
  <c r="AQ91" i="8"/>
  <c r="BR91" i="8"/>
  <c r="AT91" i="8"/>
  <c r="BV91" i="8"/>
  <c r="DW91" i="8" l="1"/>
  <c r="BH90" i="8"/>
  <c r="BJ90" i="8" s="1"/>
  <c r="AO91" i="8"/>
  <c r="Q94" i="8"/>
  <c r="T93" i="8"/>
  <c r="AE93" i="8" s="1"/>
  <c r="W93" i="8"/>
  <c r="AI93" i="8" s="1"/>
  <c r="X93" i="8"/>
  <c r="AK93" i="8" s="1"/>
  <c r="Z93" i="8"/>
  <c r="AM93" i="8" s="1"/>
  <c r="AU93" i="8" s="1"/>
  <c r="V93" i="8"/>
  <c r="AH93" i="8" s="1"/>
  <c r="Y93" i="8"/>
  <c r="AL93" i="8" s="1"/>
  <c r="U93" i="8"/>
  <c r="AF93" i="8" s="1"/>
  <c r="R93" i="8"/>
  <c r="AB93" i="8" s="1"/>
  <c r="AA93" i="8"/>
  <c r="S93" i="8"/>
  <c r="AC93" i="8" s="1"/>
  <c r="DT92" i="8"/>
  <c r="AY92" i="8"/>
  <c r="AP92" i="8"/>
  <c r="BI92" i="8" s="1"/>
  <c r="AV92" i="8"/>
  <c r="DK92" i="8"/>
  <c r="AX92" i="8"/>
  <c r="DQ92" i="8"/>
  <c r="DN92" i="8"/>
  <c r="AW92" i="8"/>
  <c r="DI91" i="8"/>
  <c r="DL91" i="8" s="1"/>
  <c r="DO91" i="8" s="1"/>
  <c r="DR91" i="8" s="1"/>
  <c r="DU91" i="8" s="1"/>
  <c r="AN92" i="8"/>
  <c r="BQ92" i="8" s="1"/>
  <c r="CI92" i="8" s="1"/>
  <c r="AD92" i="8"/>
  <c r="AG92" i="8" s="1"/>
  <c r="AJ92" i="8" s="1"/>
  <c r="BU92" i="8"/>
  <c r="AS92" i="8"/>
  <c r="AT92" i="8"/>
  <c r="BV92" i="8"/>
  <c r="BT92" i="8"/>
  <c r="AR92" i="8"/>
  <c r="BR92" i="8"/>
  <c r="BS92" i="8"/>
  <c r="AQ92" i="8"/>
  <c r="BH91" i="8" l="1"/>
  <c r="BJ91" i="8" s="1"/>
  <c r="AO92" i="8"/>
  <c r="DN93" i="8"/>
  <c r="AW93" i="8"/>
  <c r="DT93" i="8"/>
  <c r="AY93" i="8"/>
  <c r="DW92" i="8"/>
  <c r="DK93" i="8"/>
  <c r="AP93" i="8"/>
  <c r="AV93" i="8"/>
  <c r="DQ93" i="8"/>
  <c r="AX93" i="8"/>
  <c r="AN93" i="8"/>
  <c r="BQ93" i="8" s="1"/>
  <c r="CI93" i="8" s="1"/>
  <c r="AD93" i="8"/>
  <c r="AG93" i="8" s="1"/>
  <c r="AJ93" i="8" s="1"/>
  <c r="DI92" i="8"/>
  <c r="DL92" i="8" s="1"/>
  <c r="DO92" i="8" s="1"/>
  <c r="DR92" i="8" s="1"/>
  <c r="DU92" i="8" s="1"/>
  <c r="U94" i="8"/>
  <c r="AF94" i="8" s="1"/>
  <c r="W94" i="8"/>
  <c r="AI94" i="8" s="1"/>
  <c r="T94" i="8"/>
  <c r="AE94" i="8" s="1"/>
  <c r="S94" i="8"/>
  <c r="AC94" i="8" s="1"/>
  <c r="X94" i="8"/>
  <c r="AK94" i="8" s="1"/>
  <c r="Q95" i="8"/>
  <c r="R94" i="8"/>
  <c r="AB94" i="8" s="1"/>
  <c r="Z94" i="8"/>
  <c r="AM94" i="8" s="1"/>
  <c r="AU94" i="8" s="1"/>
  <c r="V94" i="8"/>
  <c r="AH94" i="8" s="1"/>
  <c r="Y94" i="8"/>
  <c r="AL94" i="8" s="1"/>
  <c r="AA94" i="8"/>
  <c r="BV93" i="8"/>
  <c r="AT93" i="8"/>
  <c r="BU93" i="8"/>
  <c r="AS93" i="8"/>
  <c r="BS93" i="8"/>
  <c r="AQ93" i="8"/>
  <c r="BR93" i="8"/>
  <c r="AR93" i="8"/>
  <c r="BT93" i="8"/>
  <c r="AO93" i="8" l="1"/>
  <c r="BI93" i="8"/>
  <c r="BH92" i="8"/>
  <c r="BJ92" i="8" s="1"/>
  <c r="DK94" i="8"/>
  <c r="AV94" i="8"/>
  <c r="AP94" i="8"/>
  <c r="DI93" i="8"/>
  <c r="DL93" i="8" s="1"/>
  <c r="DO93" i="8" s="1"/>
  <c r="DR93" i="8" s="1"/>
  <c r="DU93" i="8" s="1"/>
  <c r="AD94" i="8"/>
  <c r="AG94" i="8" s="1"/>
  <c r="AJ94" i="8" s="1"/>
  <c r="AN94" i="8"/>
  <c r="BQ94" i="8" s="1"/>
  <c r="CI94" i="8" s="1"/>
  <c r="DQ94" i="8"/>
  <c r="AX94" i="8"/>
  <c r="AY94" i="8"/>
  <c r="DT94" i="8"/>
  <c r="DN94" i="8"/>
  <c r="AW94" i="8"/>
  <c r="DW93" i="8"/>
  <c r="U95" i="8"/>
  <c r="AF95" i="8" s="1"/>
  <c r="Q96" i="8"/>
  <c r="T95" i="8"/>
  <c r="AE95" i="8" s="1"/>
  <c r="AA95" i="8"/>
  <c r="V95" i="8"/>
  <c r="AH95" i="8" s="1"/>
  <c r="X95" i="8"/>
  <c r="AK95" i="8" s="1"/>
  <c r="R95" i="8"/>
  <c r="AB95" i="8" s="1"/>
  <c r="S95" i="8"/>
  <c r="AC95" i="8" s="1"/>
  <c r="Z95" i="8"/>
  <c r="AM95" i="8" s="1"/>
  <c r="AU95" i="8" s="1"/>
  <c r="Y95" i="8"/>
  <c r="AL95" i="8" s="1"/>
  <c r="W95" i="8"/>
  <c r="AI95" i="8" s="1"/>
  <c r="AQ94" i="8"/>
  <c r="BS94" i="8"/>
  <c r="BR94" i="8"/>
  <c r="BT94" i="8"/>
  <c r="AR94" i="8"/>
  <c r="AS94" i="8"/>
  <c r="BU94" i="8"/>
  <c r="AT94" i="8"/>
  <c r="BV94" i="8"/>
  <c r="BI94" i="8" l="1"/>
  <c r="AO94" i="8"/>
  <c r="BH93" i="8"/>
  <c r="BJ93" i="8" s="1"/>
  <c r="DI94" i="8"/>
  <c r="DL94" i="8" s="1"/>
  <c r="DO94" i="8" s="1"/>
  <c r="DR94" i="8" s="1"/>
  <c r="DU94" i="8" s="1"/>
  <c r="AD95" i="8"/>
  <c r="AG95" i="8" s="1"/>
  <c r="AJ95" i="8" s="1"/>
  <c r="AN95" i="8"/>
  <c r="BQ95" i="8" s="1"/>
  <c r="CI95" i="8" s="1"/>
  <c r="DQ95" i="8"/>
  <c r="AX95" i="8"/>
  <c r="DW94" i="8"/>
  <c r="DT95" i="8"/>
  <c r="AY95" i="8"/>
  <c r="Y96" i="8"/>
  <c r="AL96" i="8" s="1"/>
  <c r="U96" i="8"/>
  <c r="AF96" i="8" s="1"/>
  <c r="Q97" i="8"/>
  <c r="R96" i="8"/>
  <c r="AB96" i="8" s="1"/>
  <c r="X96" i="8"/>
  <c r="AK96" i="8" s="1"/>
  <c r="S96" i="8"/>
  <c r="AC96" i="8" s="1"/>
  <c r="T96" i="8"/>
  <c r="AE96" i="8" s="1"/>
  <c r="Z96" i="8"/>
  <c r="AM96" i="8" s="1"/>
  <c r="AU96" i="8" s="1"/>
  <c r="AA96" i="8"/>
  <c r="V96" i="8"/>
  <c r="AH96" i="8" s="1"/>
  <c r="W96" i="8"/>
  <c r="AI96" i="8" s="1"/>
  <c r="AW95" i="8"/>
  <c r="DN95" i="8"/>
  <c r="DK95" i="8"/>
  <c r="AV95" i="8"/>
  <c r="AP95" i="8"/>
  <c r="BI95" i="8" s="1"/>
  <c r="BU95" i="8"/>
  <c r="AS95" i="8"/>
  <c r="AT95" i="8"/>
  <c r="BV95" i="8"/>
  <c r="AQ95" i="8"/>
  <c r="BS95" i="8"/>
  <c r="BR95" i="8"/>
  <c r="AR95" i="8"/>
  <c r="BT95" i="8"/>
  <c r="BH94" i="8" l="1"/>
  <c r="BJ94" i="8" s="1"/>
  <c r="AO95" i="8"/>
  <c r="AX96" i="8"/>
  <c r="DQ96" i="8"/>
  <c r="Y97" i="8"/>
  <c r="AL97" i="8" s="1"/>
  <c r="W97" i="8"/>
  <c r="AI97" i="8" s="1"/>
  <c r="R97" i="8"/>
  <c r="AB97" i="8" s="1"/>
  <c r="Q98" i="8"/>
  <c r="U97" i="8"/>
  <c r="AF97" i="8" s="1"/>
  <c r="S97" i="8"/>
  <c r="AC97" i="8" s="1"/>
  <c r="V97" i="8"/>
  <c r="AH97" i="8" s="1"/>
  <c r="AA97" i="8"/>
  <c r="Z97" i="8"/>
  <c r="AM97" i="8" s="1"/>
  <c r="AU97" i="8" s="1"/>
  <c r="T97" i="8"/>
  <c r="AE97" i="8" s="1"/>
  <c r="X97" i="8"/>
  <c r="AK97" i="8" s="1"/>
  <c r="DN96" i="8"/>
  <c r="AW96" i="8"/>
  <c r="DI95" i="8"/>
  <c r="DL95" i="8" s="1"/>
  <c r="DO95" i="8" s="1"/>
  <c r="DR95" i="8" s="1"/>
  <c r="DU95" i="8" s="1"/>
  <c r="AD96" i="8"/>
  <c r="AG96" i="8" s="1"/>
  <c r="AJ96" i="8" s="1"/>
  <c r="AN96" i="8"/>
  <c r="BQ96" i="8" s="1"/>
  <c r="CI96" i="8" s="1"/>
  <c r="AY96" i="8"/>
  <c r="DT96" i="8"/>
  <c r="DW95" i="8"/>
  <c r="AP96" i="8"/>
  <c r="DK96" i="8"/>
  <c r="AV96" i="8"/>
  <c r="BU96" i="8"/>
  <c r="AS96" i="8"/>
  <c r="AQ96" i="8"/>
  <c r="BS96" i="8"/>
  <c r="BR96" i="8"/>
  <c r="BT96" i="8"/>
  <c r="AR96" i="8"/>
  <c r="BV96" i="8"/>
  <c r="AT96" i="8"/>
  <c r="BI96" i="8" l="1"/>
  <c r="BH95" i="8"/>
  <c r="BJ95" i="8" s="1"/>
  <c r="AO96" i="8"/>
  <c r="Q99" i="8"/>
  <c r="T98" i="8"/>
  <c r="AE98" i="8" s="1"/>
  <c r="Z98" i="8"/>
  <c r="AM98" i="8" s="1"/>
  <c r="AU98" i="8" s="1"/>
  <c r="R98" i="8"/>
  <c r="AB98" i="8" s="1"/>
  <c r="AA98" i="8"/>
  <c r="V98" i="8"/>
  <c r="AH98" i="8" s="1"/>
  <c r="Y98" i="8"/>
  <c r="AL98" i="8" s="1"/>
  <c r="U98" i="8"/>
  <c r="AF98" i="8" s="1"/>
  <c r="S98" i="8"/>
  <c r="AC98" i="8" s="1"/>
  <c r="W98" i="8"/>
  <c r="AI98" i="8" s="1"/>
  <c r="X98" i="8"/>
  <c r="AK98" i="8" s="1"/>
  <c r="AX97" i="8"/>
  <c r="DQ97" i="8"/>
  <c r="DI96" i="8"/>
  <c r="DL96" i="8" s="1"/>
  <c r="DO96" i="8" s="1"/>
  <c r="DR96" i="8" s="1"/>
  <c r="DU96" i="8" s="1"/>
  <c r="DT97" i="8"/>
  <c r="AY97" i="8"/>
  <c r="AD97" i="8"/>
  <c r="AG97" i="8" s="1"/>
  <c r="AJ97" i="8" s="1"/>
  <c r="AN97" i="8"/>
  <c r="BQ97" i="8" s="1"/>
  <c r="CI97" i="8" s="1"/>
  <c r="DW96" i="8"/>
  <c r="AP97" i="8"/>
  <c r="BI97" i="8" s="1"/>
  <c r="DK97" i="8"/>
  <c r="AV97" i="8"/>
  <c r="DN97" i="8"/>
  <c r="AW97" i="8"/>
  <c r="AR97" i="8"/>
  <c r="BT97" i="8"/>
  <c r="BR97" i="8"/>
  <c r="BS97" i="8"/>
  <c r="AQ97" i="8"/>
  <c r="BU97" i="8"/>
  <c r="AS97" i="8"/>
  <c r="BV97" i="8"/>
  <c r="AT97" i="8"/>
  <c r="DW97" i="8" l="1"/>
  <c r="BH96" i="8"/>
  <c r="BJ96" i="8" s="1"/>
  <c r="AO97" i="8"/>
  <c r="DT98" i="8"/>
  <c r="AY98" i="8"/>
  <c r="DI97" i="8"/>
  <c r="DL97" i="8" s="1"/>
  <c r="DO97" i="8" s="1"/>
  <c r="DR97" i="8" s="1"/>
  <c r="DU97" i="8" s="1"/>
  <c r="AD98" i="8"/>
  <c r="AG98" i="8" s="1"/>
  <c r="AJ98" i="8" s="1"/>
  <c r="AN98" i="8"/>
  <c r="BQ98" i="8" s="1"/>
  <c r="CI98" i="8" s="1"/>
  <c r="DQ98" i="8"/>
  <c r="AX98" i="8"/>
  <c r="AV98" i="8"/>
  <c r="DK98" i="8"/>
  <c r="AP98" i="8"/>
  <c r="BI98" i="8" s="1"/>
  <c r="X99" i="8"/>
  <c r="AK99" i="8" s="1"/>
  <c r="R99" i="8"/>
  <c r="AB99" i="8" s="1"/>
  <c r="Z99" i="8"/>
  <c r="AM99" i="8" s="1"/>
  <c r="AU99" i="8" s="1"/>
  <c r="V99" i="8"/>
  <c r="AH99" i="8" s="1"/>
  <c r="U99" i="8"/>
  <c r="AF99" i="8" s="1"/>
  <c r="Q100" i="8"/>
  <c r="Y99" i="8"/>
  <c r="AL99" i="8" s="1"/>
  <c r="S99" i="8"/>
  <c r="AC99" i="8" s="1"/>
  <c r="T99" i="8"/>
  <c r="AE99" i="8" s="1"/>
  <c r="AA99" i="8"/>
  <c r="W99" i="8"/>
  <c r="AI99" i="8" s="1"/>
  <c r="AW98" i="8"/>
  <c r="DN98" i="8"/>
  <c r="AT98" i="8"/>
  <c r="BV98" i="8"/>
  <c r="BU98" i="8"/>
  <c r="AS98" i="8"/>
  <c r="BT98" i="8"/>
  <c r="AR98" i="8"/>
  <c r="AQ98" i="8"/>
  <c r="BR98" i="8"/>
  <c r="BS98" i="8"/>
  <c r="AO98" i="8" l="1"/>
  <c r="BH97" i="8"/>
  <c r="BJ97" i="8" s="1"/>
  <c r="AW99" i="8"/>
  <c r="DN99" i="8"/>
  <c r="DQ99" i="8"/>
  <c r="AX99" i="8"/>
  <c r="DI98" i="8"/>
  <c r="DL98" i="8" s="1"/>
  <c r="DO98" i="8" s="1"/>
  <c r="DR98" i="8" s="1"/>
  <c r="DU98" i="8" s="1"/>
  <c r="AD99" i="8"/>
  <c r="AG99" i="8" s="1"/>
  <c r="AJ99" i="8" s="1"/>
  <c r="AN99" i="8"/>
  <c r="BQ99" i="8" s="1"/>
  <c r="CI99" i="8" s="1"/>
  <c r="DK99" i="8"/>
  <c r="AP99" i="8"/>
  <c r="BI99" i="8" s="1"/>
  <c r="AV99" i="8"/>
  <c r="DW98" i="8"/>
  <c r="AY99" i="8"/>
  <c r="DT99" i="8"/>
  <c r="X100" i="8"/>
  <c r="AK100" i="8" s="1"/>
  <c r="Q101" i="8"/>
  <c r="R100" i="8"/>
  <c r="AB100" i="8" s="1"/>
  <c r="AA100" i="8"/>
  <c r="T100" i="8"/>
  <c r="AE100" i="8" s="1"/>
  <c r="Y100" i="8"/>
  <c r="AL100" i="8" s="1"/>
  <c r="V100" i="8"/>
  <c r="AH100" i="8" s="1"/>
  <c r="W100" i="8"/>
  <c r="AI100" i="8" s="1"/>
  <c r="Z100" i="8"/>
  <c r="AM100" i="8" s="1"/>
  <c r="AU100" i="8" s="1"/>
  <c r="U100" i="8"/>
  <c r="AF100" i="8" s="1"/>
  <c r="S100" i="8"/>
  <c r="AC100" i="8" s="1"/>
  <c r="BS99" i="8"/>
  <c r="BR99" i="8"/>
  <c r="AQ99" i="8"/>
  <c r="BU99" i="8"/>
  <c r="AS99" i="8"/>
  <c r="AT99" i="8"/>
  <c r="BV99" i="8"/>
  <c r="BT99" i="8"/>
  <c r="AR99" i="8"/>
  <c r="AO99" i="8" l="1"/>
  <c r="BH98" i="8"/>
  <c r="BJ98" i="8" s="1"/>
  <c r="AY100" i="8"/>
  <c r="DT100" i="8"/>
  <c r="DI99" i="8"/>
  <c r="DL99" i="8" s="1"/>
  <c r="DO99" i="8" s="1"/>
  <c r="DR99" i="8" s="1"/>
  <c r="DU99" i="8" s="1"/>
  <c r="AN100" i="8"/>
  <c r="BQ100" i="8" s="1"/>
  <c r="CI100" i="8" s="1"/>
  <c r="AD100" i="8"/>
  <c r="AG100" i="8" s="1"/>
  <c r="AJ100" i="8" s="1"/>
  <c r="AV100" i="8"/>
  <c r="DK100" i="8"/>
  <c r="AP100" i="8"/>
  <c r="BI100" i="8" s="1"/>
  <c r="DN100" i="8"/>
  <c r="AW100" i="8"/>
  <c r="U101" i="8"/>
  <c r="AF101" i="8" s="1"/>
  <c r="W101" i="8"/>
  <c r="AI101" i="8" s="1"/>
  <c r="X101" i="8"/>
  <c r="AK101" i="8" s="1"/>
  <c r="Y101" i="8"/>
  <c r="AL101" i="8" s="1"/>
  <c r="AA101" i="8"/>
  <c r="V101" i="8"/>
  <c r="AH101" i="8" s="1"/>
  <c r="Q102" i="8"/>
  <c r="T101" i="8"/>
  <c r="AE101" i="8" s="1"/>
  <c r="Z101" i="8"/>
  <c r="AM101" i="8" s="1"/>
  <c r="AU101" i="8" s="1"/>
  <c r="R101" i="8"/>
  <c r="AB101" i="8" s="1"/>
  <c r="S101" i="8"/>
  <c r="AC101" i="8" s="1"/>
  <c r="DQ100" i="8"/>
  <c r="AX100" i="8"/>
  <c r="DW99" i="8"/>
  <c r="BT100" i="8"/>
  <c r="AR100" i="8"/>
  <c r="BV100" i="8"/>
  <c r="AT100" i="8"/>
  <c r="BS100" i="8"/>
  <c r="AQ100" i="8"/>
  <c r="BR100" i="8"/>
  <c r="AS100" i="8"/>
  <c r="BU100" i="8"/>
  <c r="AO100" i="8" l="1"/>
  <c r="DW100" i="8"/>
  <c r="BH99" i="8"/>
  <c r="BJ99" i="8" s="1"/>
  <c r="AN101" i="8"/>
  <c r="BQ101" i="8" s="1"/>
  <c r="CI101" i="8" s="1"/>
  <c r="AD101" i="8"/>
  <c r="AG101" i="8" s="1"/>
  <c r="AJ101" i="8" s="1"/>
  <c r="DT101" i="8"/>
  <c r="AY101" i="8"/>
  <c r="AX101" i="8"/>
  <c r="DQ101" i="8"/>
  <c r="DI100" i="8"/>
  <c r="DL100" i="8" s="1"/>
  <c r="DO100" i="8" s="1"/>
  <c r="DR100" i="8" s="1"/>
  <c r="DU100" i="8" s="1"/>
  <c r="DN101" i="8"/>
  <c r="AW101" i="8"/>
  <c r="DK101" i="8"/>
  <c r="AP101" i="8"/>
  <c r="AV101" i="8"/>
  <c r="R102" i="8"/>
  <c r="AB102" i="8" s="1"/>
  <c r="X102" i="8"/>
  <c r="AK102" i="8" s="1"/>
  <c r="Q103" i="8"/>
  <c r="AA102" i="8"/>
  <c r="T102" i="8"/>
  <c r="AE102" i="8" s="1"/>
  <c r="Z102" i="8"/>
  <c r="AM102" i="8" s="1"/>
  <c r="AU102" i="8" s="1"/>
  <c r="W102" i="8"/>
  <c r="AI102" i="8" s="1"/>
  <c r="U102" i="8"/>
  <c r="AF102" i="8" s="1"/>
  <c r="V102" i="8"/>
  <c r="AH102" i="8" s="1"/>
  <c r="Y102" i="8"/>
  <c r="AL102" i="8" s="1"/>
  <c r="S102" i="8"/>
  <c r="AC102" i="8" s="1"/>
  <c r="BV101" i="8"/>
  <c r="AT101" i="8"/>
  <c r="BU101" i="8"/>
  <c r="AS101" i="8"/>
  <c r="BR101" i="8"/>
  <c r="BS101" i="8"/>
  <c r="AQ101" i="8"/>
  <c r="AR101" i="8"/>
  <c r="BT101" i="8"/>
  <c r="BI101" i="8" l="1"/>
  <c r="BH100" i="8"/>
  <c r="BJ100" i="8" s="1"/>
  <c r="AV102" i="8"/>
  <c r="DK102" i="8"/>
  <c r="AP102" i="8"/>
  <c r="BI102" i="8" s="1"/>
  <c r="Z103" i="8"/>
  <c r="AM103" i="8" s="1"/>
  <c r="AU103" i="8" s="1"/>
  <c r="S103" i="8"/>
  <c r="AC103" i="8" s="1"/>
  <c r="Y103" i="8"/>
  <c r="AL103" i="8" s="1"/>
  <c r="W103" i="8"/>
  <c r="AI103" i="8" s="1"/>
  <c r="Q104" i="8"/>
  <c r="R103" i="8"/>
  <c r="AB103" i="8" s="1"/>
  <c r="AA103" i="8"/>
  <c r="T103" i="8"/>
  <c r="AE103" i="8" s="1"/>
  <c r="V103" i="8"/>
  <c r="AH103" i="8" s="1"/>
  <c r="U103" i="8"/>
  <c r="AF103" i="8" s="1"/>
  <c r="X103" i="8"/>
  <c r="AK103" i="8" s="1"/>
  <c r="DN102" i="8"/>
  <c r="AW102" i="8"/>
  <c r="DT102" i="8"/>
  <c r="AY102" i="8"/>
  <c r="DQ102" i="8"/>
  <c r="AX102" i="8"/>
  <c r="DW101" i="8"/>
  <c r="AO101" i="8"/>
  <c r="AN102" i="8"/>
  <c r="BQ102" i="8" s="1"/>
  <c r="CI102" i="8" s="1"/>
  <c r="AD102" i="8"/>
  <c r="AG102" i="8" s="1"/>
  <c r="AJ102" i="8" s="1"/>
  <c r="DI101" i="8"/>
  <c r="DL101" i="8" s="1"/>
  <c r="DO101" i="8" s="1"/>
  <c r="DR101" i="8" s="1"/>
  <c r="DU101" i="8" s="1"/>
  <c r="AS102" i="8"/>
  <c r="BU102" i="8"/>
  <c r="AR102" i="8"/>
  <c r="BT102" i="8"/>
  <c r="BS102" i="8"/>
  <c r="AQ102" i="8"/>
  <c r="BR102" i="8"/>
  <c r="AT102" i="8"/>
  <c r="BV102" i="8"/>
  <c r="BH101" i="8" l="1"/>
  <c r="BJ101" i="8" s="1"/>
  <c r="AO102" i="8"/>
  <c r="AX103" i="8"/>
  <c r="DQ103" i="8"/>
  <c r="AY103" i="8"/>
  <c r="DT103" i="8"/>
  <c r="AP103" i="8"/>
  <c r="BI103" i="8" s="1"/>
  <c r="DK103" i="8"/>
  <c r="AV103" i="8"/>
  <c r="DN103" i="8"/>
  <c r="AW103" i="8"/>
  <c r="DW102" i="8"/>
  <c r="DI102" i="8"/>
  <c r="DL102" i="8" s="1"/>
  <c r="DO102" i="8" s="1"/>
  <c r="DR102" i="8" s="1"/>
  <c r="DU102" i="8" s="1"/>
  <c r="AD103" i="8"/>
  <c r="AG103" i="8" s="1"/>
  <c r="AJ103" i="8" s="1"/>
  <c r="AN103" i="8"/>
  <c r="BQ103" i="8" s="1"/>
  <c r="CI103" i="8" s="1"/>
  <c r="U104" i="8"/>
  <c r="AF104" i="8" s="1"/>
  <c r="R104" i="8"/>
  <c r="AB104" i="8" s="1"/>
  <c r="AA104" i="8"/>
  <c r="X104" i="8"/>
  <c r="AK104" i="8" s="1"/>
  <c r="Q105" i="8"/>
  <c r="T104" i="8"/>
  <c r="AE104" i="8" s="1"/>
  <c r="V104" i="8"/>
  <c r="AH104" i="8" s="1"/>
  <c r="Z104" i="8"/>
  <c r="AM104" i="8" s="1"/>
  <c r="AU104" i="8" s="1"/>
  <c r="Y104" i="8"/>
  <c r="AL104" i="8" s="1"/>
  <c r="W104" i="8"/>
  <c r="AI104" i="8" s="1"/>
  <c r="S104" i="8"/>
  <c r="AC104" i="8" s="1"/>
  <c r="AQ103" i="8"/>
  <c r="BS103" i="8"/>
  <c r="BR103" i="8"/>
  <c r="BT103" i="8"/>
  <c r="AR103" i="8"/>
  <c r="BV103" i="8"/>
  <c r="AT103" i="8"/>
  <c r="BU103" i="8"/>
  <c r="AS103" i="8"/>
  <c r="BH102" i="8" l="1"/>
  <c r="BJ102" i="8" s="1"/>
  <c r="DW103" i="8"/>
  <c r="AO103" i="8"/>
  <c r="DI103" i="8"/>
  <c r="DL103" i="8" s="1"/>
  <c r="DO103" i="8" s="1"/>
  <c r="DR103" i="8" s="1"/>
  <c r="DU103" i="8" s="1"/>
  <c r="R105" i="8"/>
  <c r="AB105" i="8" s="1"/>
  <c r="AA105" i="8"/>
  <c r="S105" i="8"/>
  <c r="AC105" i="8" s="1"/>
  <c r="X105" i="8"/>
  <c r="AK105" i="8" s="1"/>
  <c r="Q106" i="8"/>
  <c r="V105" i="8"/>
  <c r="AH105" i="8" s="1"/>
  <c r="W105" i="8"/>
  <c r="AI105" i="8" s="1"/>
  <c r="T105" i="8"/>
  <c r="AE105" i="8" s="1"/>
  <c r="U105" i="8"/>
  <c r="AF105" i="8" s="1"/>
  <c r="Y105" i="8"/>
  <c r="AL105" i="8" s="1"/>
  <c r="Z105" i="8"/>
  <c r="AM105" i="8" s="1"/>
  <c r="AU105" i="8" s="1"/>
  <c r="AV104" i="8"/>
  <c r="AP104" i="8"/>
  <c r="BI104" i="8" s="1"/>
  <c r="DK104" i="8"/>
  <c r="AD104" i="8"/>
  <c r="AG104" i="8" s="1"/>
  <c r="AJ104" i="8" s="1"/>
  <c r="AN104" i="8"/>
  <c r="BQ104" i="8" s="1"/>
  <c r="CI104" i="8" s="1"/>
  <c r="DQ104" i="8"/>
  <c r="AX104" i="8"/>
  <c r="AY104" i="8"/>
  <c r="DT104" i="8"/>
  <c r="DN104" i="8"/>
  <c r="AW104" i="8"/>
  <c r="BS104" i="8"/>
  <c r="AQ104" i="8"/>
  <c r="BR104" i="8"/>
  <c r="BU104" i="8"/>
  <c r="AS104" i="8"/>
  <c r="AT104" i="8"/>
  <c r="BV104" i="8"/>
  <c r="BT104" i="8"/>
  <c r="AR104" i="8"/>
  <c r="BH103" i="8" l="1"/>
  <c r="BJ103" i="8" s="1"/>
  <c r="AO104" i="8"/>
  <c r="DW104" i="8"/>
  <c r="AA106" i="8"/>
  <c r="V106" i="8"/>
  <c r="AH106" i="8" s="1"/>
  <c r="Y106" i="8"/>
  <c r="AL106" i="8" s="1"/>
  <c r="Q107" i="8"/>
  <c r="R106" i="8"/>
  <c r="AB106" i="8" s="1"/>
  <c r="Z106" i="8"/>
  <c r="AM106" i="8" s="1"/>
  <c r="AU106" i="8" s="1"/>
  <c r="X106" i="8"/>
  <c r="AK106" i="8" s="1"/>
  <c r="U106" i="8"/>
  <c r="AF106" i="8" s="1"/>
  <c r="W106" i="8"/>
  <c r="AI106" i="8" s="1"/>
  <c r="S106" i="8"/>
  <c r="AC106" i="8" s="1"/>
  <c r="T106" i="8"/>
  <c r="AE106" i="8" s="1"/>
  <c r="AP105" i="8"/>
  <c r="BI105" i="8" s="1"/>
  <c r="AV105" i="8"/>
  <c r="DK105" i="8"/>
  <c r="AY105" i="8"/>
  <c r="DT105" i="8"/>
  <c r="AN105" i="8"/>
  <c r="BQ105" i="8" s="1"/>
  <c r="CI105" i="8" s="1"/>
  <c r="AD105" i="8"/>
  <c r="AG105" i="8" s="1"/>
  <c r="AJ105" i="8" s="1"/>
  <c r="DN105" i="8"/>
  <c r="AW105" i="8"/>
  <c r="DI104" i="8"/>
  <c r="DL104" i="8" s="1"/>
  <c r="DO104" i="8" s="1"/>
  <c r="DR104" i="8" s="1"/>
  <c r="DU104" i="8" s="1"/>
  <c r="DQ105" i="8"/>
  <c r="AX105" i="8"/>
  <c r="AS105" i="8"/>
  <c r="BU105" i="8"/>
  <c r="AR105" i="8"/>
  <c r="BT105" i="8"/>
  <c r="AT105" i="8"/>
  <c r="BV105" i="8"/>
  <c r="AQ105" i="8"/>
  <c r="BS105" i="8"/>
  <c r="BR105" i="8"/>
  <c r="DW105" i="8" l="1"/>
  <c r="BH104" i="8"/>
  <c r="BJ104" i="8" s="1"/>
  <c r="AO105" i="8"/>
  <c r="Q108" i="8"/>
  <c r="R107" i="8"/>
  <c r="AB107" i="8" s="1"/>
  <c r="U107" i="8"/>
  <c r="AF107" i="8" s="1"/>
  <c r="Z107" i="8"/>
  <c r="AM107" i="8" s="1"/>
  <c r="AU107" i="8" s="1"/>
  <c r="Y107" i="8"/>
  <c r="AL107" i="8" s="1"/>
  <c r="X107" i="8"/>
  <c r="AK107" i="8" s="1"/>
  <c r="S107" i="8"/>
  <c r="AC107" i="8" s="1"/>
  <c r="W107" i="8"/>
  <c r="AI107" i="8" s="1"/>
  <c r="AA107" i="8"/>
  <c r="V107" i="8"/>
  <c r="AH107" i="8" s="1"/>
  <c r="T107" i="8"/>
  <c r="AE107" i="8" s="1"/>
  <c r="DT106" i="8"/>
  <c r="AY106" i="8"/>
  <c r="AP106" i="8"/>
  <c r="AV106" i="8"/>
  <c r="DK106" i="8"/>
  <c r="DI105" i="8"/>
  <c r="DL105" i="8" s="1"/>
  <c r="DO105" i="8" s="1"/>
  <c r="DR105" i="8" s="1"/>
  <c r="DU105" i="8" s="1"/>
  <c r="AX106" i="8"/>
  <c r="DQ106" i="8"/>
  <c r="AD106" i="8"/>
  <c r="AG106" i="8" s="1"/>
  <c r="AJ106" i="8" s="1"/>
  <c r="AN106" i="8"/>
  <c r="BQ106" i="8" s="1"/>
  <c r="CI106" i="8" s="1"/>
  <c r="AW106" i="8"/>
  <c r="DN106" i="8"/>
  <c r="AQ106" i="8"/>
  <c r="BR106" i="8"/>
  <c r="BS106" i="8"/>
  <c r="BU106" i="8"/>
  <c r="AS106" i="8"/>
  <c r="BT106" i="8"/>
  <c r="AR106" i="8"/>
  <c r="AT106" i="8"/>
  <c r="BV106" i="8"/>
  <c r="BI106" i="8" l="1"/>
  <c r="BH105" i="8"/>
  <c r="BJ105" i="8" s="1"/>
  <c r="DK107" i="8"/>
  <c r="AV107" i="8"/>
  <c r="AP107" i="8"/>
  <c r="BI107" i="8" s="1"/>
  <c r="DW106" i="8"/>
  <c r="AY107" i="8"/>
  <c r="DT107" i="8"/>
  <c r="AW107" i="8"/>
  <c r="DN107" i="8"/>
  <c r="AN107" i="8"/>
  <c r="BQ107" i="8" s="1"/>
  <c r="CI107" i="8" s="1"/>
  <c r="AD107" i="8"/>
  <c r="AG107" i="8" s="1"/>
  <c r="AJ107" i="8" s="1"/>
  <c r="R108" i="8"/>
  <c r="AB108" i="8" s="1"/>
  <c r="S108" i="8"/>
  <c r="AC108" i="8" s="1"/>
  <c r="W108" i="8"/>
  <c r="AI108" i="8" s="1"/>
  <c r="U108" i="8"/>
  <c r="AF108" i="8" s="1"/>
  <c r="V108" i="8"/>
  <c r="AH108" i="8" s="1"/>
  <c r="Z108" i="8"/>
  <c r="AM108" i="8" s="1"/>
  <c r="AU108" i="8" s="1"/>
  <c r="T108" i="8"/>
  <c r="AE108" i="8" s="1"/>
  <c r="Y108" i="8"/>
  <c r="AL108" i="8" s="1"/>
  <c r="Q109" i="8"/>
  <c r="AA108" i="8"/>
  <c r="X108" i="8"/>
  <c r="AK108" i="8" s="1"/>
  <c r="DI106" i="8"/>
  <c r="DL106" i="8" s="1"/>
  <c r="DO106" i="8" s="1"/>
  <c r="DR106" i="8" s="1"/>
  <c r="DU106" i="8" s="1"/>
  <c r="AO106" i="8"/>
  <c r="AX107" i="8"/>
  <c r="DQ107" i="8"/>
  <c r="AT107" i="8"/>
  <c r="BV107" i="8"/>
  <c r="BU107" i="8"/>
  <c r="AS107" i="8"/>
  <c r="BT107" i="8"/>
  <c r="AR107" i="8"/>
  <c r="AQ107" i="8"/>
  <c r="BR107" i="8"/>
  <c r="BS107" i="8"/>
  <c r="AO107" i="8" l="1"/>
  <c r="BH106" i="8"/>
  <c r="BJ106" i="8" s="1"/>
  <c r="AY108" i="8"/>
  <c r="DT108" i="8"/>
  <c r="DI107" i="8"/>
  <c r="DL107" i="8" s="1"/>
  <c r="DO107" i="8" s="1"/>
  <c r="DR107" i="8" s="1"/>
  <c r="DU107" i="8" s="1"/>
  <c r="DN108" i="8"/>
  <c r="AW108" i="8"/>
  <c r="DW107" i="8"/>
  <c r="DQ108" i="8"/>
  <c r="AX108" i="8"/>
  <c r="AD108" i="8"/>
  <c r="AG108" i="8" s="1"/>
  <c r="AJ108" i="8" s="1"/>
  <c r="AN108" i="8"/>
  <c r="BQ108" i="8" s="1"/>
  <c r="CI108" i="8" s="1"/>
  <c r="DK108" i="8"/>
  <c r="AP108" i="8"/>
  <c r="AV108" i="8"/>
  <c r="W109" i="8"/>
  <c r="AI109" i="8" s="1"/>
  <c r="R109" i="8"/>
  <c r="AB109" i="8" s="1"/>
  <c r="Q110" i="8"/>
  <c r="V109" i="8"/>
  <c r="AH109" i="8" s="1"/>
  <c r="U109" i="8"/>
  <c r="AF109" i="8" s="1"/>
  <c r="AA109" i="8"/>
  <c r="T109" i="8"/>
  <c r="AE109" i="8" s="1"/>
  <c r="Z109" i="8"/>
  <c r="AM109" i="8" s="1"/>
  <c r="AU109" i="8" s="1"/>
  <c r="X109" i="8"/>
  <c r="AK109" i="8" s="1"/>
  <c r="Y109" i="8"/>
  <c r="AL109" i="8" s="1"/>
  <c r="S109" i="8"/>
  <c r="AC109" i="8" s="1"/>
  <c r="BS108" i="8"/>
  <c r="AQ108" i="8"/>
  <c r="BR108" i="8"/>
  <c r="AS108" i="8"/>
  <c r="BU108" i="8"/>
  <c r="BT108" i="8"/>
  <c r="AR108" i="8"/>
  <c r="AT108" i="8"/>
  <c r="BV108" i="8"/>
  <c r="AO108" i="8" l="1"/>
  <c r="BI108" i="8"/>
  <c r="BH107" i="8"/>
  <c r="BJ107" i="8" s="1"/>
  <c r="AN109" i="8"/>
  <c r="BQ109" i="8" s="1"/>
  <c r="CI109" i="8" s="1"/>
  <c r="AD109" i="8"/>
  <c r="AG109" i="8" s="1"/>
  <c r="AJ109" i="8" s="1"/>
  <c r="DW108" i="8"/>
  <c r="DN109" i="8"/>
  <c r="AW109" i="8"/>
  <c r="DI108" i="8"/>
  <c r="DL108" i="8" s="1"/>
  <c r="DO108" i="8" s="1"/>
  <c r="DR108" i="8" s="1"/>
  <c r="DU108" i="8" s="1"/>
  <c r="AV109" i="8"/>
  <c r="AP109" i="8"/>
  <c r="DK109" i="8"/>
  <c r="U110" i="8"/>
  <c r="AF110" i="8" s="1"/>
  <c r="W110" i="8"/>
  <c r="AI110" i="8" s="1"/>
  <c r="T110" i="8"/>
  <c r="AE110" i="8" s="1"/>
  <c r="S110" i="8"/>
  <c r="AC110" i="8" s="1"/>
  <c r="Q111" i="8"/>
  <c r="X110" i="8"/>
  <c r="AK110" i="8" s="1"/>
  <c r="AA110" i="8"/>
  <c r="R110" i="8"/>
  <c r="AB110" i="8" s="1"/>
  <c r="Y110" i="8"/>
  <c r="AL110" i="8" s="1"/>
  <c r="V110" i="8"/>
  <c r="AH110" i="8" s="1"/>
  <c r="Z110" i="8"/>
  <c r="AM110" i="8" s="1"/>
  <c r="AU110" i="8" s="1"/>
  <c r="AY109" i="8"/>
  <c r="DT109" i="8"/>
  <c r="AX109" i="8"/>
  <c r="DQ109" i="8"/>
  <c r="AS109" i="8"/>
  <c r="BU109" i="8"/>
  <c r="BV109" i="8"/>
  <c r="AT109" i="8"/>
  <c r="AQ109" i="8"/>
  <c r="BR109" i="8"/>
  <c r="BS109" i="8"/>
  <c r="AR109" i="8"/>
  <c r="BT109" i="8"/>
  <c r="BI109" i="8" l="1"/>
  <c r="DW109" i="8"/>
  <c r="AO109" i="8"/>
  <c r="BH108" i="8"/>
  <c r="BJ108" i="8" s="1"/>
  <c r="AX110" i="8"/>
  <c r="DQ110" i="8"/>
  <c r="DN110" i="8"/>
  <c r="AW110" i="8"/>
  <c r="AN110" i="8"/>
  <c r="BQ110" i="8" s="1"/>
  <c r="CI110" i="8" s="1"/>
  <c r="AD110" i="8"/>
  <c r="AG110" i="8" s="1"/>
  <c r="AJ110" i="8" s="1"/>
  <c r="Q112" i="8"/>
  <c r="X111" i="8"/>
  <c r="AK111" i="8" s="1"/>
  <c r="AA111" i="8"/>
  <c r="T111" i="8"/>
  <c r="AE111" i="8" s="1"/>
  <c r="V111" i="8"/>
  <c r="AH111" i="8" s="1"/>
  <c r="Y111" i="8"/>
  <c r="AL111" i="8" s="1"/>
  <c r="U111" i="8"/>
  <c r="AF111" i="8" s="1"/>
  <c r="S111" i="8"/>
  <c r="AC111" i="8" s="1"/>
  <c r="R111" i="8"/>
  <c r="AB111" i="8" s="1"/>
  <c r="Z111" i="8"/>
  <c r="AM111" i="8" s="1"/>
  <c r="AU111" i="8" s="1"/>
  <c r="W111" i="8"/>
  <c r="AI111" i="8" s="1"/>
  <c r="DI109" i="8"/>
  <c r="DL109" i="8" s="1"/>
  <c r="DO109" i="8" s="1"/>
  <c r="DR109" i="8" s="1"/>
  <c r="DU109" i="8" s="1"/>
  <c r="DT110" i="8"/>
  <c r="AY110" i="8"/>
  <c r="AV110" i="8"/>
  <c r="AP110" i="8"/>
  <c r="DK110" i="8"/>
  <c r="BT110" i="8"/>
  <c r="AR110" i="8"/>
  <c r="AT110" i="8"/>
  <c r="BV110" i="8"/>
  <c r="BU110" i="8"/>
  <c r="AS110" i="8"/>
  <c r="BR110" i="8"/>
  <c r="BS110" i="8"/>
  <c r="AQ110" i="8"/>
  <c r="BI110" i="8" l="1"/>
  <c r="BH109" i="8"/>
  <c r="BJ109" i="8" s="1"/>
  <c r="DW110" i="8"/>
  <c r="U112" i="8"/>
  <c r="AF112" i="8" s="1"/>
  <c r="T112" i="8"/>
  <c r="AE112" i="8" s="1"/>
  <c r="Y112" i="8"/>
  <c r="AL112" i="8" s="1"/>
  <c r="AA112" i="8"/>
  <c r="R112" i="8"/>
  <c r="AB112" i="8" s="1"/>
  <c r="V112" i="8"/>
  <c r="AH112" i="8" s="1"/>
  <c r="W112" i="8"/>
  <c r="AI112" i="8" s="1"/>
  <c r="Q113" i="8"/>
  <c r="X112" i="8"/>
  <c r="AK112" i="8" s="1"/>
  <c r="Z112" i="8"/>
  <c r="AM112" i="8" s="1"/>
  <c r="AU112" i="8" s="1"/>
  <c r="S112" i="8"/>
  <c r="AC112" i="8" s="1"/>
  <c r="DK111" i="8"/>
  <c r="AP111" i="8"/>
  <c r="AV111" i="8"/>
  <c r="AW111" i="8"/>
  <c r="DN111" i="8"/>
  <c r="DI110" i="8"/>
  <c r="DL110" i="8" s="1"/>
  <c r="DO110" i="8" s="1"/>
  <c r="DR110" i="8" s="1"/>
  <c r="DU110" i="8" s="1"/>
  <c r="DT111" i="8"/>
  <c r="AY111" i="8"/>
  <c r="AO110" i="8"/>
  <c r="AX111" i="8"/>
  <c r="DQ111" i="8"/>
  <c r="AN111" i="8"/>
  <c r="BQ111" i="8" s="1"/>
  <c r="CI111" i="8" s="1"/>
  <c r="AD111" i="8"/>
  <c r="AG111" i="8" s="1"/>
  <c r="AJ111" i="8" s="1"/>
  <c r="BS111" i="8"/>
  <c r="BR111" i="8"/>
  <c r="AQ111" i="8"/>
  <c r="AT111" i="8"/>
  <c r="BV111" i="8"/>
  <c r="AR111" i="8"/>
  <c r="BT111" i="8"/>
  <c r="AS111" i="8"/>
  <c r="BU111" i="8"/>
  <c r="BI111" i="8" l="1"/>
  <c r="BH110" i="8"/>
  <c r="BJ110" i="8" s="1"/>
  <c r="DW111" i="8"/>
  <c r="AO111" i="8"/>
  <c r="AD112" i="8"/>
  <c r="AG112" i="8" s="1"/>
  <c r="AJ112" i="8" s="1"/>
  <c r="AN112" i="8"/>
  <c r="BQ112" i="8" s="1"/>
  <c r="CI112" i="8" s="1"/>
  <c r="DK112" i="8"/>
  <c r="AP112" i="8"/>
  <c r="AV112" i="8"/>
  <c r="AY112" i="8"/>
  <c r="DT112" i="8"/>
  <c r="DN112" i="8"/>
  <c r="AW112" i="8"/>
  <c r="S113" i="8"/>
  <c r="AC113" i="8" s="1"/>
  <c r="U113" i="8"/>
  <c r="AF113" i="8" s="1"/>
  <c r="Y113" i="8"/>
  <c r="AL113" i="8" s="1"/>
  <c r="Q114" i="8"/>
  <c r="Z113" i="8"/>
  <c r="AM113" i="8" s="1"/>
  <c r="AU113" i="8" s="1"/>
  <c r="X113" i="8"/>
  <c r="AK113" i="8" s="1"/>
  <c r="R113" i="8"/>
  <c r="AB113" i="8" s="1"/>
  <c r="V113" i="8"/>
  <c r="AH113" i="8" s="1"/>
  <c r="AA113" i="8"/>
  <c r="T113" i="8"/>
  <c r="AE113" i="8" s="1"/>
  <c r="W113" i="8"/>
  <c r="AI113" i="8" s="1"/>
  <c r="DI111" i="8"/>
  <c r="DL111" i="8" s="1"/>
  <c r="DO111" i="8" s="1"/>
  <c r="DR111" i="8" s="1"/>
  <c r="DU111" i="8" s="1"/>
  <c r="DQ112" i="8"/>
  <c r="AX112" i="8"/>
  <c r="BR112" i="8"/>
  <c r="BS112" i="8"/>
  <c r="AQ112" i="8"/>
  <c r="BT112" i="8"/>
  <c r="AR112" i="8"/>
  <c r="BU112" i="8"/>
  <c r="AS112" i="8"/>
  <c r="BV112" i="8"/>
  <c r="AT112" i="8"/>
  <c r="AO112" i="8" l="1"/>
  <c r="BI112" i="8"/>
  <c r="DW112" i="8"/>
  <c r="BH111" i="8"/>
  <c r="BJ111" i="8" s="1"/>
  <c r="DN113" i="8"/>
  <c r="AW113" i="8"/>
  <c r="AN113" i="8"/>
  <c r="BQ113" i="8" s="1"/>
  <c r="CI113" i="8" s="1"/>
  <c r="AD113" i="8"/>
  <c r="AG113" i="8" s="1"/>
  <c r="AJ113" i="8" s="1"/>
  <c r="AV113" i="8"/>
  <c r="DK113" i="8"/>
  <c r="AP113" i="8"/>
  <c r="DI112" i="8"/>
  <c r="DL112" i="8" s="1"/>
  <c r="DO112" i="8" s="1"/>
  <c r="DR112" i="8" s="1"/>
  <c r="DU112" i="8" s="1"/>
  <c r="AA114" i="8"/>
  <c r="X114" i="8"/>
  <c r="AK114" i="8" s="1"/>
  <c r="Q115" i="8"/>
  <c r="T114" i="8"/>
  <c r="AE114" i="8" s="1"/>
  <c r="Y114" i="8"/>
  <c r="AL114" i="8" s="1"/>
  <c r="Z114" i="8"/>
  <c r="AM114" i="8" s="1"/>
  <c r="AU114" i="8" s="1"/>
  <c r="V114" i="8"/>
  <c r="AH114" i="8" s="1"/>
  <c r="W114" i="8"/>
  <c r="AI114" i="8" s="1"/>
  <c r="U114" i="8"/>
  <c r="AF114" i="8" s="1"/>
  <c r="S114" i="8"/>
  <c r="AC114" i="8" s="1"/>
  <c r="R114" i="8"/>
  <c r="AB114" i="8" s="1"/>
  <c r="DQ113" i="8"/>
  <c r="AX113" i="8"/>
  <c r="DT113" i="8"/>
  <c r="AY113" i="8"/>
  <c r="AR113" i="8"/>
  <c r="BT113" i="8"/>
  <c r="AT113" i="8"/>
  <c r="BV113" i="8"/>
  <c r="AS113" i="8"/>
  <c r="BU113" i="8"/>
  <c r="BR113" i="8"/>
  <c r="BS113" i="8"/>
  <c r="AQ113" i="8"/>
  <c r="AO113" i="8" l="1"/>
  <c r="BI113" i="8"/>
  <c r="BH112" i="8"/>
  <c r="BJ112" i="8" s="1"/>
  <c r="DW113" i="8"/>
  <c r="DT114" i="8"/>
  <c r="AY114" i="8"/>
  <c r="Q116" i="8"/>
  <c r="X115" i="8"/>
  <c r="AK115" i="8" s="1"/>
  <c r="Y115" i="8"/>
  <c r="AL115" i="8" s="1"/>
  <c r="T115" i="8"/>
  <c r="AE115" i="8" s="1"/>
  <c r="S115" i="8"/>
  <c r="AC115" i="8" s="1"/>
  <c r="Z115" i="8"/>
  <c r="AM115" i="8" s="1"/>
  <c r="AU115" i="8" s="1"/>
  <c r="R115" i="8"/>
  <c r="AB115" i="8" s="1"/>
  <c r="W115" i="8"/>
  <c r="AI115" i="8" s="1"/>
  <c r="AA115" i="8"/>
  <c r="U115" i="8"/>
  <c r="AF115" i="8" s="1"/>
  <c r="V115" i="8"/>
  <c r="AH115" i="8" s="1"/>
  <c r="AP114" i="8"/>
  <c r="BI114" i="8" s="1"/>
  <c r="DK114" i="8"/>
  <c r="AV114" i="8"/>
  <c r="DI113" i="8"/>
  <c r="DL113" i="8" s="1"/>
  <c r="DO113" i="8" s="1"/>
  <c r="DR113" i="8" s="1"/>
  <c r="DU113" i="8" s="1"/>
  <c r="AW114" i="8"/>
  <c r="DN114" i="8"/>
  <c r="AN114" i="8"/>
  <c r="BQ114" i="8" s="1"/>
  <c r="CI114" i="8" s="1"/>
  <c r="AD114" i="8"/>
  <c r="AG114" i="8" s="1"/>
  <c r="AJ114" i="8" s="1"/>
  <c r="DQ114" i="8"/>
  <c r="AX114" i="8"/>
  <c r="AT114" i="8"/>
  <c r="BV114" i="8"/>
  <c r="AS114" i="8"/>
  <c r="BU114" i="8"/>
  <c r="AQ114" i="8"/>
  <c r="BR114" i="8"/>
  <c r="BS114" i="8"/>
  <c r="BT114" i="8"/>
  <c r="AR114" i="8"/>
  <c r="AO114" i="8" l="1"/>
  <c r="BH113" i="8"/>
  <c r="BJ113" i="8" s="1"/>
  <c r="DT115" i="8"/>
  <c r="AY115" i="8"/>
  <c r="AW115" i="8"/>
  <c r="DN115" i="8"/>
  <c r="AN115" i="8"/>
  <c r="BQ115" i="8" s="1"/>
  <c r="CI115" i="8" s="1"/>
  <c r="AD115" i="8"/>
  <c r="AG115" i="8" s="1"/>
  <c r="AJ115" i="8" s="1"/>
  <c r="V116" i="8"/>
  <c r="AH116" i="8" s="1"/>
  <c r="Q117" i="8"/>
  <c r="T116" i="8"/>
  <c r="AE116" i="8" s="1"/>
  <c r="AA116" i="8"/>
  <c r="R116" i="8"/>
  <c r="AB116" i="8" s="1"/>
  <c r="Z116" i="8"/>
  <c r="AM116" i="8" s="1"/>
  <c r="AU116" i="8" s="1"/>
  <c r="X116" i="8"/>
  <c r="AK116" i="8" s="1"/>
  <c r="Y116" i="8"/>
  <c r="AL116" i="8" s="1"/>
  <c r="S116" i="8"/>
  <c r="AC116" i="8" s="1"/>
  <c r="U116" i="8"/>
  <c r="AF116" i="8" s="1"/>
  <c r="W116" i="8"/>
  <c r="AI116" i="8" s="1"/>
  <c r="DQ115" i="8"/>
  <c r="AX115" i="8"/>
  <c r="DI114" i="8"/>
  <c r="DL114" i="8" s="1"/>
  <c r="DO114" i="8" s="1"/>
  <c r="DR114" i="8" s="1"/>
  <c r="DU114" i="8" s="1"/>
  <c r="AV115" i="8"/>
  <c r="AP115" i="8"/>
  <c r="DK115" i="8"/>
  <c r="DW114" i="8"/>
  <c r="AQ115" i="8"/>
  <c r="BR115" i="8"/>
  <c r="BS115" i="8"/>
  <c r="BT115" i="8"/>
  <c r="AR115" i="8"/>
  <c r="AS115" i="8"/>
  <c r="BU115" i="8"/>
  <c r="BV115" i="8"/>
  <c r="AT115" i="8"/>
  <c r="BI115" i="8" l="1"/>
  <c r="BH114" i="8"/>
  <c r="BJ114" i="8" s="1"/>
  <c r="AO115" i="8"/>
  <c r="DN116" i="8"/>
  <c r="AW116" i="8"/>
  <c r="U117" i="8"/>
  <c r="AF117" i="8" s="1"/>
  <c r="X117" i="8"/>
  <c r="AK117" i="8" s="1"/>
  <c r="Q118" i="8"/>
  <c r="V117" i="8"/>
  <c r="AH117" i="8" s="1"/>
  <c r="AA117" i="8"/>
  <c r="Z117" i="8"/>
  <c r="AM117" i="8" s="1"/>
  <c r="AU117" i="8" s="1"/>
  <c r="R117" i="8"/>
  <c r="AB117" i="8" s="1"/>
  <c r="Y117" i="8"/>
  <c r="AL117" i="8" s="1"/>
  <c r="T117" i="8"/>
  <c r="AE117" i="8" s="1"/>
  <c r="W117" i="8"/>
  <c r="AI117" i="8" s="1"/>
  <c r="S117" i="8"/>
  <c r="AC117" i="8" s="1"/>
  <c r="DK116" i="8"/>
  <c r="AV116" i="8"/>
  <c r="AP116" i="8"/>
  <c r="DT116" i="8"/>
  <c r="AY116" i="8"/>
  <c r="DI115" i="8"/>
  <c r="DL115" i="8" s="1"/>
  <c r="DO115" i="8" s="1"/>
  <c r="DR115" i="8" s="1"/>
  <c r="DU115" i="8" s="1"/>
  <c r="DW115" i="8"/>
  <c r="AD116" i="8"/>
  <c r="AG116" i="8" s="1"/>
  <c r="AJ116" i="8" s="1"/>
  <c r="AN116" i="8"/>
  <c r="BQ116" i="8" s="1"/>
  <c r="CI116" i="8" s="1"/>
  <c r="DQ116" i="8"/>
  <c r="AX116" i="8"/>
  <c r="BR116" i="8"/>
  <c r="BS116" i="8"/>
  <c r="AQ116" i="8"/>
  <c r="AS116" i="8"/>
  <c r="BU116" i="8"/>
  <c r="AT116" i="8"/>
  <c r="BV116" i="8"/>
  <c r="BT116" i="8"/>
  <c r="AR116" i="8"/>
  <c r="BI116" i="8" l="1"/>
  <c r="BH115" i="8"/>
  <c r="BJ115" i="8" s="1"/>
  <c r="DW116" i="8"/>
  <c r="AO116" i="8"/>
  <c r="AN117" i="8"/>
  <c r="BQ117" i="8" s="1"/>
  <c r="CI117" i="8" s="1"/>
  <c r="AD117" i="8"/>
  <c r="AG117" i="8" s="1"/>
  <c r="AJ117" i="8" s="1"/>
  <c r="DK117" i="8"/>
  <c r="AV117" i="8"/>
  <c r="AP117" i="8"/>
  <c r="V118" i="8"/>
  <c r="AH118" i="8" s="1"/>
  <c r="S118" i="8"/>
  <c r="AC118" i="8" s="1"/>
  <c r="Q119" i="8"/>
  <c r="T118" i="8"/>
  <c r="AE118" i="8" s="1"/>
  <c r="AA118" i="8"/>
  <c r="R118" i="8"/>
  <c r="AB118" i="8" s="1"/>
  <c r="Z118" i="8"/>
  <c r="AM118" i="8" s="1"/>
  <c r="AU118" i="8" s="1"/>
  <c r="W118" i="8"/>
  <c r="AI118" i="8" s="1"/>
  <c r="X118" i="8"/>
  <c r="AK118" i="8" s="1"/>
  <c r="U118" i="8"/>
  <c r="AF118" i="8" s="1"/>
  <c r="Y118" i="8"/>
  <c r="AL118" i="8" s="1"/>
  <c r="DQ117" i="8"/>
  <c r="AX117" i="8"/>
  <c r="AW117" i="8"/>
  <c r="DN117" i="8"/>
  <c r="DI116" i="8"/>
  <c r="DL116" i="8" s="1"/>
  <c r="DO116" i="8" s="1"/>
  <c r="DR116" i="8" s="1"/>
  <c r="DU116" i="8" s="1"/>
  <c r="AY117" i="8"/>
  <c r="DT117" i="8"/>
  <c r="BS117" i="8"/>
  <c r="BR117" i="8"/>
  <c r="AQ117" i="8"/>
  <c r="BV117" i="8"/>
  <c r="AT117" i="8"/>
  <c r="BT117" i="8"/>
  <c r="AR117" i="8"/>
  <c r="BU117" i="8"/>
  <c r="AS117" i="8"/>
  <c r="BI117" i="8" l="1"/>
  <c r="DW117" i="8"/>
  <c r="BH116" i="8"/>
  <c r="BJ116" i="8" s="1"/>
  <c r="AO117" i="8"/>
  <c r="AN118" i="8"/>
  <c r="BQ118" i="8" s="1"/>
  <c r="CI118" i="8" s="1"/>
  <c r="AD118" i="8"/>
  <c r="AG118" i="8" s="1"/>
  <c r="AJ118" i="8" s="1"/>
  <c r="AY118" i="8"/>
  <c r="DT118" i="8"/>
  <c r="Z119" i="8"/>
  <c r="AM119" i="8" s="1"/>
  <c r="AU119" i="8" s="1"/>
  <c r="V119" i="8"/>
  <c r="AH119" i="8" s="1"/>
  <c r="U119" i="8"/>
  <c r="AF119" i="8" s="1"/>
  <c r="Y119" i="8"/>
  <c r="AL119" i="8" s="1"/>
  <c r="W119" i="8"/>
  <c r="AI119" i="8" s="1"/>
  <c r="AA119" i="8"/>
  <c r="X119" i="8"/>
  <c r="AK119" i="8" s="1"/>
  <c r="Q120" i="8"/>
  <c r="S119" i="8"/>
  <c r="AC119" i="8" s="1"/>
  <c r="T119" i="8"/>
  <c r="AE119" i="8" s="1"/>
  <c r="R119" i="8"/>
  <c r="AB119" i="8" s="1"/>
  <c r="DI117" i="8"/>
  <c r="DL117" i="8" s="1"/>
  <c r="DO117" i="8" s="1"/>
  <c r="DR117" i="8" s="1"/>
  <c r="DU117" i="8" s="1"/>
  <c r="AW118" i="8"/>
  <c r="DN118" i="8"/>
  <c r="DK118" i="8"/>
  <c r="AV118" i="8"/>
  <c r="AP118" i="8"/>
  <c r="BI118" i="8" s="1"/>
  <c r="DQ118" i="8"/>
  <c r="AX118" i="8"/>
  <c r="AS118" i="8"/>
  <c r="BU118" i="8"/>
  <c r="BR118" i="8"/>
  <c r="BS118" i="8"/>
  <c r="AQ118" i="8"/>
  <c r="BV118" i="8"/>
  <c r="AT118" i="8"/>
  <c r="AR118" i="8"/>
  <c r="BT118" i="8"/>
  <c r="BH117" i="8" l="1"/>
  <c r="BJ117" i="8" s="1"/>
  <c r="AV119" i="8"/>
  <c r="DK119" i="8"/>
  <c r="AP119" i="8"/>
  <c r="Z120" i="8"/>
  <c r="AM120" i="8" s="1"/>
  <c r="AU120" i="8" s="1"/>
  <c r="V120" i="8"/>
  <c r="AH120" i="8" s="1"/>
  <c r="Y120" i="8"/>
  <c r="AL120" i="8" s="1"/>
  <c r="W120" i="8"/>
  <c r="AI120" i="8" s="1"/>
  <c r="U120" i="8"/>
  <c r="AF120" i="8" s="1"/>
  <c r="S120" i="8"/>
  <c r="AC120" i="8" s="1"/>
  <c r="T120" i="8"/>
  <c r="AE120" i="8" s="1"/>
  <c r="Q121" i="8"/>
  <c r="R120" i="8"/>
  <c r="AB120" i="8" s="1"/>
  <c r="AA120" i="8"/>
  <c r="X120" i="8"/>
  <c r="AK120" i="8" s="1"/>
  <c r="DW118" i="8"/>
  <c r="AD119" i="8"/>
  <c r="AG119" i="8" s="1"/>
  <c r="AJ119" i="8" s="1"/>
  <c r="AN119" i="8"/>
  <c r="BQ119" i="8" s="1"/>
  <c r="CI119" i="8" s="1"/>
  <c r="AX119" i="8"/>
  <c r="DQ119" i="8"/>
  <c r="DI118" i="8"/>
  <c r="DL118" i="8" s="1"/>
  <c r="DO118" i="8" s="1"/>
  <c r="DR118" i="8" s="1"/>
  <c r="DU118" i="8" s="1"/>
  <c r="DT119" i="8"/>
  <c r="AY119" i="8"/>
  <c r="AO118" i="8"/>
  <c r="AW119" i="8"/>
  <c r="DN119" i="8"/>
  <c r="AR119" i="8"/>
  <c r="BT119" i="8"/>
  <c r="BV119" i="8"/>
  <c r="AT119" i="8"/>
  <c r="AS119" i="8"/>
  <c r="BU119" i="8"/>
  <c r="AQ119" i="8"/>
  <c r="BS119" i="8"/>
  <c r="BR119" i="8"/>
  <c r="AO119" i="8" l="1"/>
  <c r="BI119" i="8"/>
  <c r="DW119" i="8"/>
  <c r="BH118" i="8"/>
  <c r="BJ118" i="8" s="1"/>
  <c r="AY120" i="8"/>
  <c r="DT120" i="8"/>
  <c r="DI119" i="8"/>
  <c r="DL119" i="8" s="1"/>
  <c r="DO119" i="8" s="1"/>
  <c r="DR119" i="8" s="1"/>
  <c r="DU119" i="8" s="1"/>
  <c r="AD120" i="8"/>
  <c r="AG120" i="8" s="1"/>
  <c r="AJ120" i="8" s="1"/>
  <c r="AN120" i="8"/>
  <c r="BQ120" i="8" s="1"/>
  <c r="CI120" i="8" s="1"/>
  <c r="Q122" i="8"/>
  <c r="X121" i="8"/>
  <c r="AK121" i="8" s="1"/>
  <c r="Y121" i="8"/>
  <c r="AL121" i="8" s="1"/>
  <c r="V121" i="8"/>
  <c r="AH121" i="8" s="1"/>
  <c r="AA121" i="8"/>
  <c r="R121" i="8"/>
  <c r="AB121" i="8" s="1"/>
  <c r="Z121" i="8"/>
  <c r="AM121" i="8" s="1"/>
  <c r="AU121" i="8" s="1"/>
  <c r="W121" i="8"/>
  <c r="AI121" i="8" s="1"/>
  <c r="S121" i="8"/>
  <c r="AC121" i="8" s="1"/>
  <c r="T121" i="8"/>
  <c r="AE121" i="8" s="1"/>
  <c r="U121" i="8"/>
  <c r="AF121" i="8" s="1"/>
  <c r="DK120" i="8"/>
  <c r="AV120" i="8"/>
  <c r="AP120" i="8"/>
  <c r="DN120" i="8"/>
  <c r="AW120" i="8"/>
  <c r="AX120" i="8"/>
  <c r="DQ120" i="8"/>
  <c r="AS120" i="8"/>
  <c r="BU120" i="8"/>
  <c r="AT120" i="8"/>
  <c r="BV120" i="8"/>
  <c r="BS120" i="8"/>
  <c r="AQ120" i="8"/>
  <c r="BR120" i="8"/>
  <c r="BT120" i="8"/>
  <c r="AR120" i="8"/>
  <c r="BI120" i="8" l="1"/>
  <c r="BH119" i="8"/>
  <c r="BJ119" i="8" s="1"/>
  <c r="AO120" i="8"/>
  <c r="DK121" i="8"/>
  <c r="AV121" i="8"/>
  <c r="AP121" i="8"/>
  <c r="S122" i="8"/>
  <c r="AC122" i="8" s="1"/>
  <c r="V122" i="8"/>
  <c r="AH122" i="8" s="1"/>
  <c r="AA122" i="8"/>
  <c r="W122" i="8"/>
  <c r="AI122" i="8" s="1"/>
  <c r="X122" i="8"/>
  <c r="AK122" i="8" s="1"/>
  <c r="Q123" i="8"/>
  <c r="R122" i="8"/>
  <c r="AB122" i="8" s="1"/>
  <c r="Y122" i="8"/>
  <c r="AL122" i="8" s="1"/>
  <c r="T122" i="8"/>
  <c r="AE122" i="8" s="1"/>
  <c r="U122" i="8"/>
  <c r="AF122" i="8" s="1"/>
  <c r="Z122" i="8"/>
  <c r="AM122" i="8" s="1"/>
  <c r="AU122" i="8" s="1"/>
  <c r="AX121" i="8"/>
  <c r="DQ121" i="8"/>
  <c r="DI120" i="8"/>
  <c r="DL120" i="8" s="1"/>
  <c r="DO120" i="8" s="1"/>
  <c r="DR120" i="8" s="1"/>
  <c r="DU120" i="8" s="1"/>
  <c r="DW120" i="8"/>
  <c r="AN121" i="8"/>
  <c r="BQ121" i="8" s="1"/>
  <c r="CI121" i="8" s="1"/>
  <c r="AD121" i="8"/>
  <c r="AG121" i="8" s="1"/>
  <c r="AJ121" i="8" s="1"/>
  <c r="DN121" i="8"/>
  <c r="AW121" i="8"/>
  <c r="DT121" i="8"/>
  <c r="AY121" i="8"/>
  <c r="BT121" i="8"/>
  <c r="AR121" i="8"/>
  <c r="BR121" i="8"/>
  <c r="AQ121" i="8"/>
  <c r="BS121" i="8"/>
  <c r="AT121" i="8"/>
  <c r="BV121" i="8"/>
  <c r="AS121" i="8"/>
  <c r="BU121" i="8"/>
  <c r="AO121" i="8" l="1"/>
  <c r="BI121" i="8"/>
  <c r="BH120" i="8"/>
  <c r="BJ120" i="8" s="1"/>
  <c r="DI121" i="8"/>
  <c r="DL121" i="8" s="1"/>
  <c r="DO121" i="8" s="1"/>
  <c r="DR121" i="8" s="1"/>
  <c r="DU121" i="8" s="1"/>
  <c r="DQ122" i="8"/>
  <c r="AX122" i="8"/>
  <c r="AN122" i="8"/>
  <c r="BQ122" i="8" s="1"/>
  <c r="CI122" i="8" s="1"/>
  <c r="AD122" i="8"/>
  <c r="AG122" i="8" s="1"/>
  <c r="AJ122" i="8" s="1"/>
  <c r="AW122" i="8"/>
  <c r="DN122" i="8"/>
  <c r="DK122" i="8"/>
  <c r="AP122" i="8"/>
  <c r="AV122" i="8"/>
  <c r="AY122" i="8"/>
  <c r="DT122" i="8"/>
  <c r="DW121" i="8"/>
  <c r="S123" i="8"/>
  <c r="AC123" i="8" s="1"/>
  <c r="W123" i="8"/>
  <c r="AI123" i="8" s="1"/>
  <c r="V123" i="8"/>
  <c r="AH123" i="8" s="1"/>
  <c r="Y123" i="8"/>
  <c r="AL123" i="8" s="1"/>
  <c r="X123" i="8"/>
  <c r="AK123" i="8" s="1"/>
  <c r="T123" i="8"/>
  <c r="AE123" i="8" s="1"/>
  <c r="AA123" i="8"/>
  <c r="R123" i="8"/>
  <c r="AB123" i="8" s="1"/>
  <c r="U123" i="8"/>
  <c r="AF123" i="8" s="1"/>
  <c r="Q124" i="8"/>
  <c r="Z123" i="8"/>
  <c r="AM123" i="8" s="1"/>
  <c r="AU123" i="8" s="1"/>
  <c r="BU122" i="8"/>
  <c r="AS122" i="8"/>
  <c r="BS122" i="8"/>
  <c r="BR122" i="8"/>
  <c r="AQ122" i="8"/>
  <c r="BV122" i="8"/>
  <c r="AT122" i="8"/>
  <c r="BT122" i="8"/>
  <c r="AR122" i="8"/>
  <c r="BI122" i="8" l="1"/>
  <c r="DW122" i="8"/>
  <c r="BH121" i="8"/>
  <c r="BJ121" i="8" s="1"/>
  <c r="AO122" i="8"/>
  <c r="AW123" i="8"/>
  <c r="DN123" i="8"/>
  <c r="AP123" i="8"/>
  <c r="DK123" i="8"/>
  <c r="AV123" i="8"/>
  <c r="AN123" i="8"/>
  <c r="BQ123" i="8" s="1"/>
  <c r="CI123" i="8" s="1"/>
  <c r="AD123" i="8"/>
  <c r="AG123" i="8" s="1"/>
  <c r="AJ123" i="8" s="1"/>
  <c r="DI122" i="8"/>
  <c r="DL122" i="8" s="1"/>
  <c r="DO122" i="8" s="1"/>
  <c r="DR122" i="8" s="1"/>
  <c r="DU122" i="8" s="1"/>
  <c r="AY123" i="8"/>
  <c r="DT123" i="8"/>
  <c r="Y124" i="8"/>
  <c r="AL124" i="8" s="1"/>
  <c r="W124" i="8"/>
  <c r="AI124" i="8" s="1"/>
  <c r="S124" i="8"/>
  <c r="AC124" i="8" s="1"/>
  <c r="U124" i="8"/>
  <c r="AF124" i="8" s="1"/>
  <c r="V124" i="8"/>
  <c r="AH124" i="8" s="1"/>
  <c r="Q125" i="8"/>
  <c r="R124" i="8"/>
  <c r="AB124" i="8" s="1"/>
  <c r="X124" i="8"/>
  <c r="AK124" i="8" s="1"/>
  <c r="AA124" i="8"/>
  <c r="Z124" i="8"/>
  <c r="AM124" i="8" s="1"/>
  <c r="AU124" i="8" s="1"/>
  <c r="T124" i="8"/>
  <c r="AE124" i="8" s="1"/>
  <c r="DQ123" i="8"/>
  <c r="AX123" i="8"/>
  <c r="BT123" i="8"/>
  <c r="AR123" i="8"/>
  <c r="BU123" i="8"/>
  <c r="AS123" i="8"/>
  <c r="AT123" i="8"/>
  <c r="BV123" i="8"/>
  <c r="BR123" i="8"/>
  <c r="BS123" i="8"/>
  <c r="AQ123" i="8"/>
  <c r="AO123" i="8" l="1"/>
  <c r="BI123" i="8"/>
  <c r="BH122" i="8"/>
  <c r="BJ122" i="8" s="1"/>
  <c r="DQ124" i="8"/>
  <c r="AX124" i="8"/>
  <c r="DT124" i="8"/>
  <c r="AY124" i="8"/>
  <c r="DI123" i="8"/>
  <c r="DL123" i="8" s="1"/>
  <c r="DO123" i="8" s="1"/>
  <c r="DR123" i="8" s="1"/>
  <c r="DU123" i="8" s="1"/>
  <c r="AD124" i="8"/>
  <c r="AG124" i="8" s="1"/>
  <c r="AJ124" i="8" s="1"/>
  <c r="AN124" i="8"/>
  <c r="BQ124" i="8" s="1"/>
  <c r="CI124" i="8" s="1"/>
  <c r="W125" i="8"/>
  <c r="AI125" i="8" s="1"/>
  <c r="S125" i="8"/>
  <c r="AC125" i="8" s="1"/>
  <c r="U125" i="8"/>
  <c r="AF125" i="8" s="1"/>
  <c r="Y125" i="8"/>
  <c r="AL125" i="8" s="1"/>
  <c r="X125" i="8"/>
  <c r="AK125" i="8" s="1"/>
  <c r="AA125" i="8"/>
  <c r="R125" i="8"/>
  <c r="AB125" i="8" s="1"/>
  <c r="Q126" i="8"/>
  <c r="T125" i="8"/>
  <c r="AE125" i="8" s="1"/>
  <c r="Z125" i="8"/>
  <c r="AM125" i="8" s="1"/>
  <c r="AU125" i="8" s="1"/>
  <c r="V125" i="8"/>
  <c r="AH125" i="8" s="1"/>
  <c r="DW123" i="8"/>
  <c r="AW124" i="8"/>
  <c r="DN124" i="8"/>
  <c r="DK124" i="8"/>
  <c r="AP124" i="8"/>
  <c r="BI124" i="8" s="1"/>
  <c r="AV124" i="8"/>
  <c r="BS124" i="8"/>
  <c r="AQ124" i="8"/>
  <c r="BR124" i="8"/>
  <c r="AS124" i="8"/>
  <c r="BU124" i="8"/>
  <c r="AR124" i="8"/>
  <c r="BT124" i="8"/>
  <c r="BV124" i="8"/>
  <c r="AT124" i="8"/>
  <c r="BH123" i="8" l="1"/>
  <c r="BJ123" i="8" s="1"/>
  <c r="AO124" i="8"/>
  <c r="Q127" i="8"/>
  <c r="V126" i="8"/>
  <c r="AH126" i="8" s="1"/>
  <c r="X126" i="8"/>
  <c r="AK126" i="8" s="1"/>
  <c r="Y126" i="8"/>
  <c r="AL126" i="8" s="1"/>
  <c r="S126" i="8"/>
  <c r="AC126" i="8" s="1"/>
  <c r="Z126" i="8"/>
  <c r="AM126" i="8" s="1"/>
  <c r="AU126" i="8" s="1"/>
  <c r="U126" i="8"/>
  <c r="AF126" i="8" s="1"/>
  <c r="W126" i="8"/>
  <c r="AI126" i="8" s="1"/>
  <c r="R126" i="8"/>
  <c r="AB126" i="8" s="1"/>
  <c r="T126" i="8"/>
  <c r="AE126" i="8" s="1"/>
  <c r="AA126" i="8"/>
  <c r="DI124" i="8"/>
  <c r="DL124" i="8" s="1"/>
  <c r="DO124" i="8" s="1"/>
  <c r="DR124" i="8" s="1"/>
  <c r="DU124" i="8" s="1"/>
  <c r="AN125" i="8"/>
  <c r="BQ125" i="8" s="1"/>
  <c r="CI125" i="8" s="1"/>
  <c r="AD125" i="8"/>
  <c r="AG125" i="8" s="1"/>
  <c r="AJ125" i="8" s="1"/>
  <c r="DW124" i="8"/>
  <c r="AY125" i="8"/>
  <c r="DT125" i="8"/>
  <c r="DN125" i="8"/>
  <c r="AW125" i="8"/>
  <c r="DK125" i="8"/>
  <c r="AP125" i="8"/>
  <c r="AV125" i="8"/>
  <c r="DQ125" i="8"/>
  <c r="AX125" i="8"/>
  <c r="BU125" i="8"/>
  <c r="AS125" i="8"/>
  <c r="BT125" i="8"/>
  <c r="AR125" i="8"/>
  <c r="BR125" i="8"/>
  <c r="BS125" i="8"/>
  <c r="AQ125" i="8"/>
  <c r="BV125" i="8"/>
  <c r="AT125" i="8"/>
  <c r="BI125" i="8" l="1"/>
  <c r="BH124" i="8"/>
  <c r="BJ124" i="8" s="1"/>
  <c r="AO125" i="8"/>
  <c r="DN126" i="8"/>
  <c r="AW126" i="8"/>
  <c r="DI125" i="8"/>
  <c r="DL125" i="8" s="1"/>
  <c r="DO125" i="8" s="1"/>
  <c r="DR125" i="8" s="1"/>
  <c r="DU125" i="8" s="1"/>
  <c r="AV126" i="8"/>
  <c r="DK126" i="8"/>
  <c r="AP126" i="8"/>
  <c r="DT126" i="8"/>
  <c r="AY126" i="8"/>
  <c r="AN126" i="8"/>
  <c r="BQ126" i="8" s="1"/>
  <c r="CI126" i="8" s="1"/>
  <c r="AD126" i="8"/>
  <c r="AG126" i="8" s="1"/>
  <c r="AJ126" i="8" s="1"/>
  <c r="DW125" i="8"/>
  <c r="AA127" i="8"/>
  <c r="R127" i="8"/>
  <c r="AB127" i="8" s="1"/>
  <c r="X127" i="8"/>
  <c r="AK127" i="8" s="1"/>
  <c r="Z127" i="8"/>
  <c r="AM127" i="8" s="1"/>
  <c r="AU127" i="8" s="1"/>
  <c r="W127" i="8"/>
  <c r="AI127" i="8" s="1"/>
  <c r="U127" i="8"/>
  <c r="AF127" i="8" s="1"/>
  <c r="Y127" i="8"/>
  <c r="AL127" i="8" s="1"/>
  <c r="S127" i="8"/>
  <c r="AC127" i="8" s="1"/>
  <c r="T127" i="8"/>
  <c r="AE127" i="8" s="1"/>
  <c r="Q128" i="8"/>
  <c r="V127" i="8"/>
  <c r="AH127" i="8" s="1"/>
  <c r="DQ126" i="8"/>
  <c r="AX126" i="8"/>
  <c r="BV126" i="8"/>
  <c r="AT126" i="8"/>
  <c r="BS126" i="8"/>
  <c r="AQ126" i="8"/>
  <c r="BR126" i="8"/>
  <c r="AR126" i="8"/>
  <c r="BT126" i="8"/>
  <c r="AS126" i="8"/>
  <c r="BU126" i="8"/>
  <c r="AO126" i="8" l="1"/>
  <c r="BI126" i="8"/>
  <c r="BH125" i="8"/>
  <c r="BJ125" i="8" s="1"/>
  <c r="AV127" i="8"/>
  <c r="DK127" i="8"/>
  <c r="AP127" i="8"/>
  <c r="DW126" i="8"/>
  <c r="DT127" i="8"/>
  <c r="AY127" i="8"/>
  <c r="DN127" i="8"/>
  <c r="AW127" i="8"/>
  <c r="AX127" i="8"/>
  <c r="DQ127" i="8"/>
  <c r="DI126" i="8"/>
  <c r="DL126" i="8" s="1"/>
  <c r="DO126" i="8" s="1"/>
  <c r="DR126" i="8" s="1"/>
  <c r="DU126" i="8" s="1"/>
  <c r="S128" i="8"/>
  <c r="AC128" i="8" s="1"/>
  <c r="AA128" i="8"/>
  <c r="T128" i="8"/>
  <c r="AE128" i="8" s="1"/>
  <c r="Q129" i="8"/>
  <c r="X128" i="8"/>
  <c r="AK128" i="8" s="1"/>
  <c r="V128" i="8"/>
  <c r="AH128" i="8" s="1"/>
  <c r="Z128" i="8"/>
  <c r="AM128" i="8" s="1"/>
  <c r="AU128" i="8" s="1"/>
  <c r="R128" i="8"/>
  <c r="AB128" i="8" s="1"/>
  <c r="Y128" i="8"/>
  <c r="AL128" i="8" s="1"/>
  <c r="W128" i="8"/>
  <c r="AI128" i="8" s="1"/>
  <c r="U128" i="8"/>
  <c r="AF128" i="8" s="1"/>
  <c r="AN127" i="8"/>
  <c r="BQ127" i="8" s="1"/>
  <c r="CI127" i="8" s="1"/>
  <c r="AD127" i="8"/>
  <c r="AG127" i="8" s="1"/>
  <c r="AJ127" i="8" s="1"/>
  <c r="BS127" i="8"/>
  <c r="BR127" i="8"/>
  <c r="AQ127" i="8"/>
  <c r="BT127" i="8"/>
  <c r="AR127" i="8"/>
  <c r="AT127" i="8"/>
  <c r="BV127" i="8"/>
  <c r="BU127" i="8"/>
  <c r="AS127" i="8"/>
  <c r="BI127" i="8" l="1"/>
  <c r="AO127" i="8"/>
  <c r="BH126" i="8"/>
  <c r="BJ126" i="8" s="1"/>
  <c r="AY128" i="8"/>
  <c r="DT128" i="8"/>
  <c r="AP128" i="8"/>
  <c r="AV128" i="8"/>
  <c r="DK128" i="8"/>
  <c r="DW127" i="8"/>
  <c r="DI127" i="8"/>
  <c r="DL127" i="8" s="1"/>
  <c r="DO127" i="8" s="1"/>
  <c r="DR127" i="8" s="1"/>
  <c r="DU127" i="8" s="1"/>
  <c r="W129" i="8"/>
  <c r="AI129" i="8" s="1"/>
  <c r="S129" i="8"/>
  <c r="AC129" i="8" s="1"/>
  <c r="Q130" i="8"/>
  <c r="T129" i="8"/>
  <c r="AE129" i="8" s="1"/>
  <c r="R129" i="8"/>
  <c r="AB129" i="8" s="1"/>
  <c r="AA129" i="8"/>
  <c r="X129" i="8"/>
  <c r="AK129" i="8" s="1"/>
  <c r="Z129" i="8"/>
  <c r="AM129" i="8" s="1"/>
  <c r="AU129" i="8" s="1"/>
  <c r="V129" i="8"/>
  <c r="AH129" i="8" s="1"/>
  <c r="Y129" i="8"/>
  <c r="AL129" i="8" s="1"/>
  <c r="U129" i="8"/>
  <c r="AF129" i="8" s="1"/>
  <c r="AW128" i="8"/>
  <c r="DN128" i="8"/>
  <c r="DQ128" i="8"/>
  <c r="AX128" i="8"/>
  <c r="AD128" i="8"/>
  <c r="AG128" i="8" s="1"/>
  <c r="AJ128" i="8" s="1"/>
  <c r="AN128" i="8"/>
  <c r="BQ128" i="8" s="1"/>
  <c r="CI128" i="8" s="1"/>
  <c r="BU128" i="8"/>
  <c r="AS128" i="8"/>
  <c r="BT128" i="8"/>
  <c r="AR128" i="8"/>
  <c r="AT128" i="8"/>
  <c r="BV128" i="8"/>
  <c r="BR128" i="8"/>
  <c r="AQ128" i="8"/>
  <c r="BS128" i="8"/>
  <c r="AO128" i="8" l="1"/>
  <c r="BI128" i="8"/>
  <c r="BH127" i="8"/>
  <c r="BJ127" i="8" s="1"/>
  <c r="DI128" i="8"/>
  <c r="DL128" i="8" s="1"/>
  <c r="DO128" i="8" s="1"/>
  <c r="DR128" i="8" s="1"/>
  <c r="DU128" i="8" s="1"/>
  <c r="AD129" i="8"/>
  <c r="AG129" i="8" s="1"/>
  <c r="AJ129" i="8" s="1"/>
  <c r="AN129" i="8"/>
  <c r="BQ129" i="8" s="1"/>
  <c r="CI129" i="8" s="1"/>
  <c r="AW129" i="8"/>
  <c r="DN129" i="8"/>
  <c r="Q131" i="8"/>
  <c r="X130" i="8"/>
  <c r="AK130" i="8" s="1"/>
  <c r="Z130" i="8"/>
  <c r="AM130" i="8" s="1"/>
  <c r="AU130" i="8" s="1"/>
  <c r="V130" i="8"/>
  <c r="AH130" i="8" s="1"/>
  <c r="Y130" i="8"/>
  <c r="AL130" i="8" s="1"/>
  <c r="W130" i="8"/>
  <c r="AI130" i="8" s="1"/>
  <c r="S130" i="8"/>
  <c r="AC130" i="8" s="1"/>
  <c r="U130" i="8"/>
  <c r="AF130" i="8" s="1"/>
  <c r="AA130" i="8"/>
  <c r="R130" i="8"/>
  <c r="AB130" i="8" s="1"/>
  <c r="T130" i="8"/>
  <c r="AE130" i="8" s="1"/>
  <c r="DT129" i="8"/>
  <c r="AY129" i="8"/>
  <c r="AV129" i="8"/>
  <c r="AP129" i="8"/>
  <c r="DK129" i="8"/>
  <c r="AX129" i="8"/>
  <c r="DQ129" i="8"/>
  <c r="DW128" i="8"/>
  <c r="AS129" i="8"/>
  <c r="BU129" i="8"/>
  <c r="BT129" i="8"/>
  <c r="AR129" i="8"/>
  <c r="BV129" i="8"/>
  <c r="AT129" i="8"/>
  <c r="BR129" i="8"/>
  <c r="BS129" i="8"/>
  <c r="AQ129" i="8"/>
  <c r="BI129" i="8" l="1"/>
  <c r="BH128" i="8"/>
  <c r="BJ128" i="8" s="1"/>
  <c r="AO129" i="8"/>
  <c r="AD130" i="8"/>
  <c r="AG130" i="8" s="1"/>
  <c r="AJ130" i="8" s="1"/>
  <c r="AN130" i="8"/>
  <c r="BQ130" i="8" s="1"/>
  <c r="CI130" i="8" s="1"/>
  <c r="R131" i="8"/>
  <c r="AB131" i="8" s="1"/>
  <c r="T131" i="8"/>
  <c r="AE131" i="8" s="1"/>
  <c r="AA131" i="8"/>
  <c r="Q132" i="8"/>
  <c r="V131" i="8"/>
  <c r="AH131" i="8" s="1"/>
  <c r="X131" i="8"/>
  <c r="AK131" i="8" s="1"/>
  <c r="Z131" i="8"/>
  <c r="AM131" i="8" s="1"/>
  <c r="AU131" i="8" s="1"/>
  <c r="U131" i="8"/>
  <c r="AF131" i="8" s="1"/>
  <c r="W131" i="8"/>
  <c r="AI131" i="8" s="1"/>
  <c r="S131" i="8"/>
  <c r="AC131" i="8" s="1"/>
  <c r="Y131" i="8"/>
  <c r="AL131" i="8" s="1"/>
  <c r="DN130" i="8"/>
  <c r="AW130" i="8"/>
  <c r="DW129" i="8"/>
  <c r="DK130" i="8"/>
  <c r="AV130" i="8"/>
  <c r="AP130" i="8"/>
  <c r="DQ130" i="8"/>
  <c r="AX130" i="8"/>
  <c r="DI129" i="8"/>
  <c r="DL129" i="8" s="1"/>
  <c r="DO129" i="8" s="1"/>
  <c r="DR129" i="8" s="1"/>
  <c r="DU129" i="8" s="1"/>
  <c r="AY130" i="8"/>
  <c r="DT130" i="8"/>
  <c r="BS130" i="8"/>
  <c r="BR130" i="8"/>
  <c r="AQ130" i="8"/>
  <c r="AT130" i="8"/>
  <c r="BV130" i="8"/>
  <c r="AR130" i="8"/>
  <c r="BT130" i="8"/>
  <c r="AS130" i="8"/>
  <c r="BU130" i="8"/>
  <c r="BI130" i="8" l="1"/>
  <c r="BH129" i="8"/>
  <c r="BJ129" i="8" s="1"/>
  <c r="AO130" i="8"/>
  <c r="T132" i="8"/>
  <c r="AE132" i="8" s="1"/>
  <c r="R132" i="8"/>
  <c r="AB132" i="8" s="1"/>
  <c r="AA132" i="8"/>
  <c r="X132" i="8"/>
  <c r="AK132" i="8" s="1"/>
  <c r="U132" i="8"/>
  <c r="AF132" i="8" s="1"/>
  <c r="Q133" i="8"/>
  <c r="Z132" i="8"/>
  <c r="AM132" i="8" s="1"/>
  <c r="AU132" i="8" s="1"/>
  <c r="V132" i="8"/>
  <c r="AH132" i="8" s="1"/>
  <c r="Y132" i="8"/>
  <c r="AL132" i="8" s="1"/>
  <c r="S132" i="8"/>
  <c r="AC132" i="8" s="1"/>
  <c r="W132" i="8"/>
  <c r="AI132" i="8" s="1"/>
  <c r="AY131" i="8"/>
  <c r="DT131" i="8"/>
  <c r="AN131" i="8"/>
  <c r="BQ131" i="8" s="1"/>
  <c r="CI131" i="8" s="1"/>
  <c r="AD131" i="8"/>
  <c r="AG131" i="8" s="1"/>
  <c r="AJ131" i="8" s="1"/>
  <c r="AP131" i="8"/>
  <c r="DK131" i="8"/>
  <c r="AV131" i="8"/>
  <c r="DQ131" i="8"/>
  <c r="AX131" i="8"/>
  <c r="DW130" i="8"/>
  <c r="AW131" i="8"/>
  <c r="DN131" i="8"/>
  <c r="DI130" i="8"/>
  <c r="DL130" i="8" s="1"/>
  <c r="DO130" i="8" s="1"/>
  <c r="DR130" i="8" s="1"/>
  <c r="DU130" i="8" s="1"/>
  <c r="BS131" i="8"/>
  <c r="AQ131" i="8"/>
  <c r="BR131" i="8"/>
  <c r="AS131" i="8"/>
  <c r="BU131" i="8"/>
  <c r="AR131" i="8"/>
  <c r="BT131" i="8"/>
  <c r="BV131" i="8"/>
  <c r="AT131" i="8"/>
  <c r="BI131" i="8" l="1"/>
  <c r="BH130" i="8"/>
  <c r="BJ130" i="8" s="1"/>
  <c r="AO131" i="8"/>
  <c r="DT132" i="8"/>
  <c r="AY132" i="8"/>
  <c r="DW131" i="8"/>
  <c r="DI131" i="8"/>
  <c r="DL131" i="8" s="1"/>
  <c r="DO131" i="8" s="1"/>
  <c r="DR131" i="8" s="1"/>
  <c r="DU131" i="8" s="1"/>
  <c r="Y133" i="8"/>
  <c r="AL133" i="8" s="1"/>
  <c r="S133" i="8"/>
  <c r="AC133" i="8" s="1"/>
  <c r="U133" i="8"/>
  <c r="AF133" i="8" s="1"/>
  <c r="V133" i="8"/>
  <c r="AH133" i="8" s="1"/>
  <c r="AA133" i="8"/>
  <c r="R133" i="8"/>
  <c r="AB133" i="8" s="1"/>
  <c r="Q134" i="8"/>
  <c r="X133" i="8"/>
  <c r="AK133" i="8" s="1"/>
  <c r="Z133" i="8"/>
  <c r="AM133" i="8" s="1"/>
  <c r="AU133" i="8" s="1"/>
  <c r="T133" i="8"/>
  <c r="AE133" i="8" s="1"/>
  <c r="W133" i="8"/>
  <c r="AI133" i="8" s="1"/>
  <c r="AW132" i="8"/>
  <c r="DN132" i="8"/>
  <c r="DQ132" i="8"/>
  <c r="AX132" i="8"/>
  <c r="AD132" i="8"/>
  <c r="AG132" i="8" s="1"/>
  <c r="AJ132" i="8" s="1"/>
  <c r="AN132" i="8"/>
  <c r="BQ132" i="8" s="1"/>
  <c r="CI132" i="8" s="1"/>
  <c r="AP132" i="8"/>
  <c r="DK132" i="8"/>
  <c r="AV132" i="8"/>
  <c r="AT132" i="8"/>
  <c r="BV132" i="8"/>
  <c r="BS132" i="8"/>
  <c r="BR132" i="8"/>
  <c r="AQ132" i="8"/>
  <c r="AR132" i="8"/>
  <c r="BT132" i="8"/>
  <c r="AS132" i="8"/>
  <c r="BU132" i="8"/>
  <c r="BI132" i="8" l="1"/>
  <c r="BH131" i="8"/>
  <c r="BJ131" i="8" s="1"/>
  <c r="DW132" i="8"/>
  <c r="AY133" i="8"/>
  <c r="DT133" i="8"/>
  <c r="S134" i="8"/>
  <c r="AC134" i="8" s="1"/>
  <c r="X134" i="8"/>
  <c r="AK134" i="8" s="1"/>
  <c r="Q135" i="8"/>
  <c r="R134" i="8"/>
  <c r="AB134" i="8" s="1"/>
  <c r="AA134" i="8"/>
  <c r="V134" i="8"/>
  <c r="AH134" i="8" s="1"/>
  <c r="Z134" i="8"/>
  <c r="AM134" i="8" s="1"/>
  <c r="AU134" i="8" s="1"/>
  <c r="T134" i="8"/>
  <c r="AE134" i="8" s="1"/>
  <c r="Y134" i="8"/>
  <c r="AL134" i="8" s="1"/>
  <c r="U134" i="8"/>
  <c r="AF134" i="8" s="1"/>
  <c r="W134" i="8"/>
  <c r="AI134" i="8" s="1"/>
  <c r="AN133" i="8"/>
  <c r="BQ133" i="8" s="1"/>
  <c r="CI133" i="8" s="1"/>
  <c r="AD133" i="8"/>
  <c r="AG133" i="8" s="1"/>
  <c r="AJ133" i="8" s="1"/>
  <c r="DQ133" i="8"/>
  <c r="AX133" i="8"/>
  <c r="DN133" i="8"/>
  <c r="AW133" i="8"/>
  <c r="AO132" i="8"/>
  <c r="DI132" i="8"/>
  <c r="DL132" i="8" s="1"/>
  <c r="DO132" i="8" s="1"/>
  <c r="DR132" i="8" s="1"/>
  <c r="DU132" i="8" s="1"/>
  <c r="DK133" i="8"/>
  <c r="AV133" i="8"/>
  <c r="AP133" i="8"/>
  <c r="BR133" i="8"/>
  <c r="AQ133" i="8"/>
  <c r="BS133" i="8"/>
  <c r="BU133" i="8"/>
  <c r="AS133" i="8"/>
  <c r="BT133" i="8"/>
  <c r="AR133" i="8"/>
  <c r="BV133" i="8"/>
  <c r="AT133" i="8"/>
  <c r="BI133" i="8" l="1"/>
  <c r="AO133" i="8"/>
  <c r="BH132" i="8"/>
  <c r="BJ132" i="8" s="1"/>
  <c r="DI133" i="8"/>
  <c r="DL133" i="8" s="1"/>
  <c r="DO133" i="8" s="1"/>
  <c r="DR133" i="8" s="1"/>
  <c r="DU133" i="8" s="1"/>
  <c r="AN134" i="8"/>
  <c r="BQ134" i="8" s="1"/>
  <c r="CI134" i="8" s="1"/>
  <c r="AD134" i="8"/>
  <c r="AG134" i="8" s="1"/>
  <c r="AJ134" i="8" s="1"/>
  <c r="AX134" i="8"/>
  <c r="DQ134" i="8"/>
  <c r="AA135" i="8"/>
  <c r="V135" i="8"/>
  <c r="AH135" i="8" s="1"/>
  <c r="T135" i="8"/>
  <c r="AE135" i="8" s="1"/>
  <c r="Q136" i="8"/>
  <c r="Z135" i="8"/>
  <c r="AM135" i="8" s="1"/>
  <c r="AU135" i="8" s="1"/>
  <c r="X135" i="8"/>
  <c r="AK135" i="8" s="1"/>
  <c r="W135" i="8"/>
  <c r="AI135" i="8" s="1"/>
  <c r="S135" i="8"/>
  <c r="AC135" i="8" s="1"/>
  <c r="U135" i="8"/>
  <c r="AF135" i="8" s="1"/>
  <c r="Y135" i="8"/>
  <c r="AL135" i="8" s="1"/>
  <c r="R135" i="8"/>
  <c r="AB135" i="8" s="1"/>
  <c r="DN134" i="8"/>
  <c r="AW134" i="8"/>
  <c r="DT134" i="8"/>
  <c r="AY134" i="8"/>
  <c r="DK134" i="8"/>
  <c r="AP134" i="8"/>
  <c r="AV134" i="8"/>
  <c r="DW133" i="8"/>
  <c r="BV134" i="8"/>
  <c r="AT134" i="8"/>
  <c r="AS134" i="8"/>
  <c r="BU134" i="8"/>
  <c r="BR134" i="8"/>
  <c r="AQ134" i="8"/>
  <c r="BS134" i="8"/>
  <c r="AR134" i="8"/>
  <c r="BT134" i="8"/>
  <c r="BI134" i="8" l="1"/>
  <c r="BH133" i="8"/>
  <c r="BJ133" i="8" s="1"/>
  <c r="DW134" i="8"/>
  <c r="AW135" i="8"/>
  <c r="DN135" i="8"/>
  <c r="AN135" i="8"/>
  <c r="BQ135" i="8" s="1"/>
  <c r="CI135" i="8" s="1"/>
  <c r="AD135" i="8"/>
  <c r="AG135" i="8" s="1"/>
  <c r="AJ135" i="8" s="1"/>
  <c r="AP135" i="8"/>
  <c r="AV135" i="8"/>
  <c r="DK135" i="8"/>
  <c r="DQ135" i="8"/>
  <c r="AX135" i="8"/>
  <c r="DI134" i="8"/>
  <c r="DL134" i="8" s="1"/>
  <c r="DO134" i="8" s="1"/>
  <c r="DR134" i="8" s="1"/>
  <c r="DU134" i="8" s="1"/>
  <c r="AO134" i="8"/>
  <c r="Z136" i="8"/>
  <c r="AM136" i="8" s="1"/>
  <c r="AU136" i="8" s="1"/>
  <c r="R136" i="8"/>
  <c r="AB136" i="8" s="1"/>
  <c r="Y136" i="8"/>
  <c r="AL136" i="8" s="1"/>
  <c r="U136" i="8"/>
  <c r="AF136" i="8" s="1"/>
  <c r="S136" i="8"/>
  <c r="AC136" i="8" s="1"/>
  <c r="W136" i="8"/>
  <c r="AI136" i="8" s="1"/>
  <c r="V136" i="8"/>
  <c r="AH136" i="8" s="1"/>
  <c r="AA136" i="8"/>
  <c r="T136" i="8"/>
  <c r="AE136" i="8" s="1"/>
  <c r="Q137" i="8"/>
  <c r="X136" i="8"/>
  <c r="AK136" i="8" s="1"/>
  <c r="DT135" i="8"/>
  <c r="AY135" i="8"/>
  <c r="AR135" i="8"/>
  <c r="BT135" i="8"/>
  <c r="BU135" i="8"/>
  <c r="AS135" i="8"/>
  <c r="AT135" i="8"/>
  <c r="BV135" i="8"/>
  <c r="BS135" i="8"/>
  <c r="BR135" i="8"/>
  <c r="AQ135" i="8"/>
  <c r="AO135" i="8" l="1"/>
  <c r="BI135" i="8"/>
  <c r="BH134" i="8"/>
  <c r="BJ134" i="8" s="1"/>
  <c r="DW135" i="8"/>
  <c r="AN136" i="8"/>
  <c r="BQ136" i="8" s="1"/>
  <c r="CI136" i="8" s="1"/>
  <c r="AD136" i="8"/>
  <c r="AG136" i="8" s="1"/>
  <c r="AJ136" i="8" s="1"/>
  <c r="DI135" i="8"/>
  <c r="DL135" i="8" s="1"/>
  <c r="DO135" i="8" s="1"/>
  <c r="DR135" i="8" s="1"/>
  <c r="DU135" i="8" s="1"/>
  <c r="AX136" i="8"/>
  <c r="DQ136" i="8"/>
  <c r="AV136" i="8"/>
  <c r="AP136" i="8"/>
  <c r="DK136" i="8"/>
  <c r="AW136" i="8"/>
  <c r="DN136" i="8"/>
  <c r="AY136" i="8"/>
  <c r="DT136" i="8"/>
  <c r="Q138" i="8"/>
  <c r="V137" i="8"/>
  <c r="AH137" i="8" s="1"/>
  <c r="R137" i="8"/>
  <c r="AB137" i="8" s="1"/>
  <c r="Z137" i="8"/>
  <c r="AM137" i="8" s="1"/>
  <c r="AU137" i="8" s="1"/>
  <c r="X137" i="8"/>
  <c r="AK137" i="8" s="1"/>
  <c r="Y137" i="8"/>
  <c r="AL137" i="8" s="1"/>
  <c r="W137" i="8"/>
  <c r="AI137" i="8" s="1"/>
  <c r="S137" i="8"/>
  <c r="AC137" i="8" s="1"/>
  <c r="U137" i="8"/>
  <c r="AF137" i="8" s="1"/>
  <c r="AA137" i="8"/>
  <c r="T137" i="8"/>
  <c r="AE137" i="8" s="1"/>
  <c r="AR136" i="8"/>
  <c r="BT136" i="8"/>
  <c r="BS136" i="8"/>
  <c r="AQ136" i="8"/>
  <c r="BR136" i="8"/>
  <c r="AS136" i="8"/>
  <c r="BU136" i="8"/>
  <c r="BV136" i="8"/>
  <c r="AT136" i="8"/>
  <c r="AO136" i="8" l="1"/>
  <c r="BI136" i="8"/>
  <c r="DW136" i="8"/>
  <c r="BH135" i="8"/>
  <c r="BJ135" i="8" s="1"/>
  <c r="AX137" i="8"/>
  <c r="DQ137" i="8"/>
  <c r="AY137" i="8"/>
  <c r="DT137" i="8"/>
  <c r="DI136" i="8"/>
  <c r="DL136" i="8" s="1"/>
  <c r="DO136" i="8" s="1"/>
  <c r="DR136" i="8" s="1"/>
  <c r="DU136" i="8" s="1"/>
  <c r="AN137" i="8"/>
  <c r="BQ137" i="8" s="1"/>
  <c r="CI137" i="8" s="1"/>
  <c r="AD137" i="8"/>
  <c r="AG137" i="8" s="1"/>
  <c r="AJ137" i="8" s="1"/>
  <c r="DN137" i="8"/>
  <c r="AW137" i="8"/>
  <c r="S138" i="8"/>
  <c r="AC138" i="8" s="1"/>
  <c r="V138" i="8"/>
  <c r="AH138" i="8" s="1"/>
  <c r="AA138" i="8"/>
  <c r="X138" i="8"/>
  <c r="AK138" i="8" s="1"/>
  <c r="W138" i="8"/>
  <c r="AI138" i="8" s="1"/>
  <c r="Q139" i="8"/>
  <c r="T138" i="8"/>
  <c r="AE138" i="8" s="1"/>
  <c r="Y138" i="8"/>
  <c r="AL138" i="8" s="1"/>
  <c r="R138" i="8"/>
  <c r="AB138" i="8" s="1"/>
  <c r="U138" i="8"/>
  <c r="AF138" i="8" s="1"/>
  <c r="Z138" i="8"/>
  <c r="AM138" i="8" s="1"/>
  <c r="AU138" i="8" s="1"/>
  <c r="AP137" i="8"/>
  <c r="AV137" i="8"/>
  <c r="DK137" i="8"/>
  <c r="AT137" i="8"/>
  <c r="BV137" i="8"/>
  <c r="BS137" i="8"/>
  <c r="AQ137" i="8"/>
  <c r="BR137" i="8"/>
  <c r="AS137" i="8"/>
  <c r="BU137" i="8"/>
  <c r="BT137" i="8"/>
  <c r="AR137" i="8"/>
  <c r="BI137" i="8" l="1"/>
  <c r="BH136" i="8"/>
  <c r="BJ136" i="8" s="1"/>
  <c r="DI137" i="8"/>
  <c r="DL137" i="8" s="1"/>
  <c r="DO137" i="8" s="1"/>
  <c r="DR137" i="8" s="1"/>
  <c r="DU137" i="8" s="1"/>
  <c r="AN138" i="8"/>
  <c r="BQ138" i="8" s="1"/>
  <c r="CI138" i="8" s="1"/>
  <c r="AD138" i="8"/>
  <c r="AG138" i="8" s="1"/>
  <c r="AJ138" i="8" s="1"/>
  <c r="AP138" i="8"/>
  <c r="AV138" i="8"/>
  <c r="DK138" i="8"/>
  <c r="AW138" i="8"/>
  <c r="DN138" i="8"/>
  <c r="AY138" i="8"/>
  <c r="DT138" i="8"/>
  <c r="DW137" i="8"/>
  <c r="T139" i="8"/>
  <c r="AE139" i="8" s="1"/>
  <c r="V139" i="8"/>
  <c r="AH139" i="8" s="1"/>
  <c r="Q140" i="8"/>
  <c r="X139" i="8"/>
  <c r="AK139" i="8" s="1"/>
  <c r="AA139" i="8"/>
  <c r="R139" i="8"/>
  <c r="AB139" i="8" s="1"/>
  <c r="U139" i="8"/>
  <c r="AF139" i="8" s="1"/>
  <c r="S139" i="8"/>
  <c r="AC139" i="8" s="1"/>
  <c r="Z139" i="8"/>
  <c r="AM139" i="8" s="1"/>
  <c r="AU139" i="8" s="1"/>
  <c r="W139" i="8"/>
  <c r="AI139" i="8" s="1"/>
  <c r="Y139" i="8"/>
  <c r="AL139" i="8" s="1"/>
  <c r="AO137" i="8"/>
  <c r="AX138" i="8"/>
  <c r="DQ138" i="8"/>
  <c r="AR138" i="8"/>
  <c r="BT138" i="8"/>
  <c r="BU138" i="8"/>
  <c r="AS138" i="8"/>
  <c r="AT138" i="8"/>
  <c r="BV138" i="8"/>
  <c r="BS138" i="8"/>
  <c r="AQ138" i="8"/>
  <c r="BR138" i="8"/>
  <c r="BI138" i="8" l="1"/>
  <c r="BH137" i="8"/>
  <c r="BJ137" i="8" s="1"/>
  <c r="AO138" i="8"/>
  <c r="DK139" i="8"/>
  <c r="AP139" i="8"/>
  <c r="AV139" i="8"/>
  <c r="DN139" i="8"/>
  <c r="AW139" i="8"/>
  <c r="DW138" i="8"/>
  <c r="AD139" i="8"/>
  <c r="AG139" i="8" s="1"/>
  <c r="AJ139" i="8" s="1"/>
  <c r="AN139" i="8"/>
  <c r="BQ139" i="8" s="1"/>
  <c r="CI139" i="8" s="1"/>
  <c r="DI138" i="8"/>
  <c r="DL138" i="8" s="1"/>
  <c r="DO138" i="8" s="1"/>
  <c r="DR138" i="8" s="1"/>
  <c r="DU138" i="8" s="1"/>
  <c r="DT139" i="8"/>
  <c r="AY139" i="8"/>
  <c r="Z140" i="8"/>
  <c r="AM140" i="8" s="1"/>
  <c r="AU140" i="8" s="1"/>
  <c r="V140" i="8"/>
  <c r="AH140" i="8" s="1"/>
  <c r="T140" i="8"/>
  <c r="AE140" i="8" s="1"/>
  <c r="Y140" i="8"/>
  <c r="AL140" i="8" s="1"/>
  <c r="S140" i="8"/>
  <c r="AC140" i="8" s="1"/>
  <c r="W140" i="8"/>
  <c r="AI140" i="8" s="1"/>
  <c r="X140" i="8"/>
  <c r="AK140" i="8" s="1"/>
  <c r="Q141" i="8"/>
  <c r="U140" i="8"/>
  <c r="AF140" i="8" s="1"/>
  <c r="R140" i="8"/>
  <c r="AB140" i="8" s="1"/>
  <c r="AA140" i="8"/>
  <c r="AX139" i="8"/>
  <c r="DQ139" i="8"/>
  <c r="BU139" i="8"/>
  <c r="AS139" i="8"/>
  <c r="BS139" i="8"/>
  <c r="BR139" i="8"/>
  <c r="AQ139" i="8"/>
  <c r="BV139" i="8"/>
  <c r="AT139" i="8"/>
  <c r="BT139" i="8"/>
  <c r="AR139" i="8"/>
  <c r="AO139" i="8" l="1"/>
  <c r="BI139" i="8"/>
  <c r="BH138" i="8"/>
  <c r="BJ138" i="8" s="1"/>
  <c r="AD140" i="8"/>
  <c r="AG140" i="8" s="1"/>
  <c r="AJ140" i="8" s="1"/>
  <c r="AN140" i="8"/>
  <c r="BQ140" i="8" s="1"/>
  <c r="CI140" i="8" s="1"/>
  <c r="DN140" i="8"/>
  <c r="AW140" i="8"/>
  <c r="T141" i="8"/>
  <c r="AE141" i="8" s="1"/>
  <c r="Q142" i="8"/>
  <c r="X141" i="8"/>
  <c r="AK141" i="8" s="1"/>
  <c r="AA141" i="8"/>
  <c r="V141" i="8"/>
  <c r="AH141" i="8" s="1"/>
  <c r="Y141" i="8"/>
  <c r="AL141" i="8" s="1"/>
  <c r="R141" i="8"/>
  <c r="AB141" i="8" s="1"/>
  <c r="S141" i="8"/>
  <c r="AC141" i="8" s="1"/>
  <c r="W141" i="8"/>
  <c r="AI141" i="8" s="1"/>
  <c r="Z141" i="8"/>
  <c r="AM141" i="8" s="1"/>
  <c r="AU141" i="8" s="1"/>
  <c r="U141" i="8"/>
  <c r="AF141" i="8" s="1"/>
  <c r="DQ140" i="8"/>
  <c r="AX140" i="8"/>
  <c r="AV140" i="8"/>
  <c r="AP140" i="8"/>
  <c r="DK140" i="8"/>
  <c r="DW139" i="8"/>
  <c r="AY140" i="8"/>
  <c r="DT140" i="8"/>
  <c r="DI139" i="8"/>
  <c r="DL139" i="8" s="1"/>
  <c r="DO139" i="8" s="1"/>
  <c r="DR139" i="8" s="1"/>
  <c r="DU139" i="8" s="1"/>
  <c r="BT140" i="8"/>
  <c r="AR140" i="8"/>
  <c r="BR140" i="8"/>
  <c r="AQ140" i="8"/>
  <c r="BS140" i="8"/>
  <c r="BU140" i="8"/>
  <c r="AS140" i="8"/>
  <c r="BV140" i="8"/>
  <c r="AT140" i="8"/>
  <c r="BI140" i="8" l="1"/>
  <c r="DW140" i="8"/>
  <c r="BH139" i="8"/>
  <c r="BJ139" i="8" s="1"/>
  <c r="AO140" i="8"/>
  <c r="AN141" i="8"/>
  <c r="BQ141" i="8" s="1"/>
  <c r="CI141" i="8" s="1"/>
  <c r="AD141" i="8"/>
  <c r="AG141" i="8" s="1"/>
  <c r="AJ141" i="8" s="1"/>
  <c r="DN141" i="8"/>
  <c r="AW141" i="8"/>
  <c r="W142" i="8"/>
  <c r="AI142" i="8" s="1"/>
  <c r="U142" i="8"/>
  <c r="AF142" i="8" s="1"/>
  <c r="T142" i="8"/>
  <c r="AE142" i="8" s="1"/>
  <c r="Y142" i="8"/>
  <c r="AL142" i="8" s="1"/>
  <c r="Q143" i="8"/>
  <c r="R142" i="8"/>
  <c r="AB142" i="8" s="1"/>
  <c r="AA142" i="8"/>
  <c r="V142" i="8"/>
  <c r="AH142" i="8" s="1"/>
  <c r="Z142" i="8"/>
  <c r="AM142" i="8" s="1"/>
  <c r="AU142" i="8" s="1"/>
  <c r="X142" i="8"/>
  <c r="AK142" i="8" s="1"/>
  <c r="S142" i="8"/>
  <c r="AC142" i="8" s="1"/>
  <c r="DQ141" i="8"/>
  <c r="AX141" i="8"/>
  <c r="AV141" i="8"/>
  <c r="DK141" i="8"/>
  <c r="AP141" i="8"/>
  <c r="DT141" i="8"/>
  <c r="AY141" i="8"/>
  <c r="DI140" i="8"/>
  <c r="DL140" i="8" s="1"/>
  <c r="DO140" i="8" s="1"/>
  <c r="DR140" i="8" s="1"/>
  <c r="DU140" i="8" s="1"/>
  <c r="BV141" i="8"/>
  <c r="AT141" i="8"/>
  <c r="AS141" i="8"/>
  <c r="BU141" i="8"/>
  <c r="AR141" i="8"/>
  <c r="BT141" i="8"/>
  <c r="BR141" i="8"/>
  <c r="BS141" i="8"/>
  <c r="AQ141" i="8"/>
  <c r="BI141" i="8" l="1"/>
  <c r="BH140" i="8"/>
  <c r="BJ140" i="8" s="1"/>
  <c r="AO141" i="8"/>
  <c r="DT142" i="8"/>
  <c r="AY142" i="8"/>
  <c r="DN142" i="8"/>
  <c r="AW142" i="8"/>
  <c r="DQ142" i="8"/>
  <c r="AX142" i="8"/>
  <c r="DW141" i="8"/>
  <c r="AD142" i="8"/>
  <c r="AG142" i="8" s="1"/>
  <c r="AJ142" i="8" s="1"/>
  <c r="AN142" i="8"/>
  <c r="BQ142" i="8" s="1"/>
  <c r="CI142" i="8" s="1"/>
  <c r="AP142" i="8"/>
  <c r="AV142" i="8"/>
  <c r="DK142" i="8"/>
  <c r="Z143" i="8"/>
  <c r="AM143" i="8" s="1"/>
  <c r="AU143" i="8" s="1"/>
  <c r="X143" i="8"/>
  <c r="AK143" i="8" s="1"/>
  <c r="S143" i="8"/>
  <c r="AC143" i="8" s="1"/>
  <c r="Y143" i="8"/>
  <c r="AL143" i="8" s="1"/>
  <c r="U143" i="8"/>
  <c r="AF143" i="8" s="1"/>
  <c r="W143" i="8"/>
  <c r="AI143" i="8" s="1"/>
  <c r="T143" i="8"/>
  <c r="AE143" i="8" s="1"/>
  <c r="AA143" i="8"/>
  <c r="V143" i="8"/>
  <c r="AH143" i="8" s="1"/>
  <c r="Q144" i="8"/>
  <c r="R143" i="8"/>
  <c r="AB143" i="8" s="1"/>
  <c r="DI141" i="8"/>
  <c r="DL141" i="8" s="1"/>
  <c r="DO141" i="8" s="1"/>
  <c r="DR141" i="8" s="1"/>
  <c r="DU141" i="8" s="1"/>
  <c r="AS142" i="8"/>
  <c r="BU142" i="8"/>
  <c r="BV142" i="8"/>
  <c r="AT142" i="8"/>
  <c r="AQ142" i="8"/>
  <c r="BS142" i="8"/>
  <c r="BR142" i="8"/>
  <c r="AR142" i="8"/>
  <c r="BT142" i="8"/>
  <c r="AO142" i="8" l="1"/>
  <c r="BI142" i="8"/>
  <c r="BH141" i="8"/>
  <c r="BJ141" i="8" s="1"/>
  <c r="AX143" i="8"/>
  <c r="DQ143" i="8"/>
  <c r="AW143" i="8"/>
  <c r="DN143" i="8"/>
  <c r="DW142" i="8"/>
  <c r="DT143" i="8"/>
  <c r="AY143" i="8"/>
  <c r="DI142" i="8"/>
  <c r="DL142" i="8" s="1"/>
  <c r="DO142" i="8" s="1"/>
  <c r="DR142" i="8" s="1"/>
  <c r="DU142" i="8" s="1"/>
  <c r="AP143" i="8"/>
  <c r="DK143" i="8"/>
  <c r="AV143" i="8"/>
  <c r="Z144" i="8"/>
  <c r="AM144" i="8" s="1"/>
  <c r="AU144" i="8" s="1"/>
  <c r="W144" i="8"/>
  <c r="AI144" i="8" s="1"/>
  <c r="T144" i="8"/>
  <c r="AE144" i="8" s="1"/>
  <c r="R144" i="8"/>
  <c r="AB144" i="8" s="1"/>
  <c r="Y144" i="8"/>
  <c r="AL144" i="8" s="1"/>
  <c r="U144" i="8"/>
  <c r="AF144" i="8" s="1"/>
  <c r="S144" i="8"/>
  <c r="AC144" i="8" s="1"/>
  <c r="Q145" i="8"/>
  <c r="AA144" i="8"/>
  <c r="X144" i="8"/>
  <c r="AK144" i="8" s="1"/>
  <c r="V144" i="8"/>
  <c r="AH144" i="8" s="1"/>
  <c r="AN143" i="8"/>
  <c r="BQ143" i="8" s="1"/>
  <c r="CI143" i="8" s="1"/>
  <c r="AD143" i="8"/>
  <c r="AG143" i="8" s="1"/>
  <c r="AJ143" i="8" s="1"/>
  <c r="AT143" i="8"/>
  <c r="BV143" i="8"/>
  <c r="AQ143" i="8"/>
  <c r="BR143" i="8"/>
  <c r="BS143" i="8"/>
  <c r="BT143" i="8"/>
  <c r="AR143" i="8"/>
  <c r="AS143" i="8"/>
  <c r="BU143" i="8"/>
  <c r="AO143" i="8" l="1"/>
  <c r="BI143" i="8"/>
  <c r="BH142" i="8"/>
  <c r="BJ142" i="8" s="1"/>
  <c r="DQ144" i="8"/>
  <c r="AX144" i="8"/>
  <c r="AD144" i="8"/>
  <c r="AG144" i="8" s="1"/>
  <c r="AJ144" i="8" s="1"/>
  <c r="AN144" i="8"/>
  <c r="BQ144" i="8" s="1"/>
  <c r="CI144" i="8" s="1"/>
  <c r="DI143" i="8"/>
  <c r="DL143" i="8" s="1"/>
  <c r="DO143" i="8" s="1"/>
  <c r="DR143" i="8" s="1"/>
  <c r="DU143" i="8" s="1"/>
  <c r="W145" i="8"/>
  <c r="AI145" i="8" s="1"/>
  <c r="S145" i="8"/>
  <c r="AC145" i="8" s="1"/>
  <c r="X145" i="8"/>
  <c r="AK145" i="8" s="1"/>
  <c r="R145" i="8"/>
  <c r="AB145" i="8" s="1"/>
  <c r="U145" i="8"/>
  <c r="AF145" i="8" s="1"/>
  <c r="AA145" i="8"/>
  <c r="V145" i="8"/>
  <c r="AH145" i="8" s="1"/>
  <c r="Z145" i="8"/>
  <c r="AM145" i="8" s="1"/>
  <c r="AU145" i="8" s="1"/>
  <c r="Q146" i="8"/>
  <c r="T145" i="8"/>
  <c r="AE145" i="8" s="1"/>
  <c r="Y145" i="8"/>
  <c r="AL145" i="8" s="1"/>
  <c r="AP144" i="8"/>
  <c r="DK144" i="8"/>
  <c r="AV144" i="8"/>
  <c r="AW144" i="8"/>
  <c r="DN144" i="8"/>
  <c r="DW143" i="8"/>
  <c r="DT144" i="8"/>
  <c r="AY144" i="8"/>
  <c r="BU144" i="8"/>
  <c r="AS144" i="8"/>
  <c r="AT144" i="8"/>
  <c r="BV144" i="8"/>
  <c r="BT144" i="8"/>
  <c r="AR144" i="8"/>
  <c r="BR144" i="8"/>
  <c r="AQ144" i="8"/>
  <c r="BS144" i="8"/>
  <c r="BI144" i="8" l="1"/>
  <c r="AO144" i="8"/>
  <c r="BH143" i="8"/>
  <c r="BJ143" i="8" s="1"/>
  <c r="AP145" i="8"/>
  <c r="DK145" i="8"/>
  <c r="AV145" i="8"/>
  <c r="Q147" i="8"/>
  <c r="X146" i="8"/>
  <c r="AK146" i="8" s="1"/>
  <c r="Z146" i="8"/>
  <c r="AM146" i="8" s="1"/>
  <c r="AU146" i="8" s="1"/>
  <c r="V146" i="8"/>
  <c r="AH146" i="8" s="1"/>
  <c r="U146" i="8"/>
  <c r="AF146" i="8" s="1"/>
  <c r="W146" i="8"/>
  <c r="AI146" i="8" s="1"/>
  <c r="Y146" i="8"/>
  <c r="AL146" i="8" s="1"/>
  <c r="T146" i="8"/>
  <c r="AE146" i="8" s="1"/>
  <c r="AA146" i="8"/>
  <c r="R146" i="8"/>
  <c r="AB146" i="8" s="1"/>
  <c r="S146" i="8"/>
  <c r="AC146" i="8" s="1"/>
  <c r="AX145" i="8"/>
  <c r="DQ145" i="8"/>
  <c r="AD145" i="8"/>
  <c r="AG145" i="8" s="1"/>
  <c r="AJ145" i="8" s="1"/>
  <c r="AN145" i="8"/>
  <c r="BQ145" i="8" s="1"/>
  <c r="CI145" i="8" s="1"/>
  <c r="DI144" i="8"/>
  <c r="DL144" i="8" s="1"/>
  <c r="DO144" i="8" s="1"/>
  <c r="DR144" i="8" s="1"/>
  <c r="DU144" i="8" s="1"/>
  <c r="AW145" i="8"/>
  <c r="DN145" i="8"/>
  <c r="DW144" i="8"/>
  <c r="DT145" i="8"/>
  <c r="AY145" i="8"/>
  <c r="BS145" i="8"/>
  <c r="BR145" i="8"/>
  <c r="AQ145" i="8"/>
  <c r="BV145" i="8"/>
  <c r="AT145" i="8"/>
  <c r="AR145" i="8"/>
  <c r="BT145" i="8"/>
  <c r="AS145" i="8"/>
  <c r="BU145" i="8"/>
  <c r="AO145" i="8" l="1"/>
  <c r="BI145" i="8"/>
  <c r="DW145" i="8"/>
  <c r="BH144" i="8"/>
  <c r="AW146" i="8"/>
  <c r="DN146" i="8"/>
  <c r="AP146" i="8"/>
  <c r="AV146" i="8"/>
  <c r="DK146" i="8"/>
  <c r="DI145" i="8"/>
  <c r="DL145" i="8" s="1"/>
  <c r="DO145" i="8" s="1"/>
  <c r="DR145" i="8" s="1"/>
  <c r="DU145" i="8" s="1"/>
  <c r="AN146" i="8"/>
  <c r="BQ146" i="8" s="1"/>
  <c r="CI146" i="8" s="1"/>
  <c r="AD146" i="8"/>
  <c r="AG146" i="8" s="1"/>
  <c r="AJ146" i="8" s="1"/>
  <c r="AA147" i="8"/>
  <c r="R147" i="8"/>
  <c r="AB147" i="8" s="1"/>
  <c r="Z147" i="8"/>
  <c r="AM147" i="8" s="1"/>
  <c r="AU147" i="8" s="1"/>
  <c r="T147" i="8"/>
  <c r="AE147" i="8" s="1"/>
  <c r="Y147" i="8"/>
  <c r="AL147" i="8" s="1"/>
  <c r="U147" i="8"/>
  <c r="AF147" i="8" s="1"/>
  <c r="W147" i="8"/>
  <c r="AI147" i="8" s="1"/>
  <c r="Q148" i="8"/>
  <c r="S147" i="8"/>
  <c r="AC147" i="8" s="1"/>
  <c r="X147" i="8"/>
  <c r="AK147" i="8" s="1"/>
  <c r="V147" i="8"/>
  <c r="AH147" i="8" s="1"/>
  <c r="DT146" i="8"/>
  <c r="AY146" i="8"/>
  <c r="AX146" i="8"/>
  <c r="DQ146" i="8"/>
  <c r="AT146" i="8"/>
  <c r="BV146" i="8"/>
  <c r="BT146" i="8"/>
  <c r="AR146" i="8"/>
  <c r="AS146" i="8"/>
  <c r="BU146" i="8"/>
  <c r="AQ146" i="8"/>
  <c r="BS146" i="8"/>
  <c r="BR146" i="8"/>
  <c r="AO146" i="8" l="1"/>
  <c r="BI146" i="8"/>
  <c r="BJ144" i="8"/>
  <c r="BH145" i="8" s="1"/>
  <c r="BJ145" i="8" s="1"/>
  <c r="DN147" i="8"/>
  <c r="AW147" i="8"/>
  <c r="DT147" i="8"/>
  <c r="AY147" i="8"/>
  <c r="DK147" i="8"/>
  <c r="AP147" i="8"/>
  <c r="AV147" i="8"/>
  <c r="AD147" i="8"/>
  <c r="AG147" i="8" s="1"/>
  <c r="AJ147" i="8" s="1"/>
  <c r="AN147" i="8"/>
  <c r="BQ147" i="8" s="1"/>
  <c r="CI147" i="8" s="1"/>
  <c r="DW146" i="8"/>
  <c r="X148" i="8"/>
  <c r="AK148" i="8" s="1"/>
  <c r="V148" i="8"/>
  <c r="AH148" i="8" s="1"/>
  <c r="Z148" i="8"/>
  <c r="AM148" i="8" s="1"/>
  <c r="AU148" i="8" s="1"/>
  <c r="Q149" i="8"/>
  <c r="AA148" i="8"/>
  <c r="T148" i="8"/>
  <c r="AE148" i="8" s="1"/>
  <c r="Y148" i="8"/>
  <c r="AL148" i="8" s="1"/>
  <c r="R148" i="8"/>
  <c r="AB148" i="8" s="1"/>
  <c r="W148" i="8"/>
  <c r="AI148" i="8" s="1"/>
  <c r="U148" i="8"/>
  <c r="AF148" i="8" s="1"/>
  <c r="S148" i="8"/>
  <c r="AC148" i="8" s="1"/>
  <c r="DQ147" i="8"/>
  <c r="AX147" i="8"/>
  <c r="DI146" i="8"/>
  <c r="DL146" i="8" s="1"/>
  <c r="DO146" i="8" s="1"/>
  <c r="DR146" i="8" s="1"/>
  <c r="DU146" i="8" s="1"/>
  <c r="AR147" i="8"/>
  <c r="BT147" i="8"/>
  <c r="AQ147" i="8"/>
  <c r="BS147" i="8"/>
  <c r="BR147" i="8"/>
  <c r="BV147" i="8"/>
  <c r="AT147" i="8"/>
  <c r="AS147" i="8"/>
  <c r="BU147" i="8"/>
  <c r="BI147" i="8" l="1"/>
  <c r="BH146" i="8"/>
  <c r="BJ146" i="8" s="1"/>
  <c r="DW147" i="8"/>
  <c r="AO147" i="8"/>
  <c r="AW148" i="8"/>
  <c r="DN148" i="8"/>
  <c r="AX148" i="8"/>
  <c r="DQ148" i="8"/>
  <c r="DT148" i="8"/>
  <c r="AY148" i="8"/>
  <c r="AN148" i="8"/>
  <c r="BQ148" i="8" s="1"/>
  <c r="CI148" i="8" s="1"/>
  <c r="AD148" i="8"/>
  <c r="AG148" i="8" s="1"/>
  <c r="AJ148" i="8" s="1"/>
  <c r="Q150" i="8"/>
  <c r="V149" i="8"/>
  <c r="AH149" i="8" s="1"/>
  <c r="W149" i="8"/>
  <c r="AI149" i="8" s="1"/>
  <c r="Z149" i="8"/>
  <c r="AM149" i="8" s="1"/>
  <c r="AU149" i="8" s="1"/>
  <c r="X149" i="8"/>
  <c r="AK149" i="8" s="1"/>
  <c r="Y149" i="8"/>
  <c r="AL149" i="8" s="1"/>
  <c r="R149" i="8"/>
  <c r="AB149" i="8" s="1"/>
  <c r="S149" i="8"/>
  <c r="AC149" i="8" s="1"/>
  <c r="U149" i="8"/>
  <c r="AF149" i="8" s="1"/>
  <c r="AA149" i="8"/>
  <c r="T149" i="8"/>
  <c r="AE149" i="8" s="1"/>
  <c r="DI147" i="8"/>
  <c r="DL147" i="8" s="1"/>
  <c r="DO147" i="8" s="1"/>
  <c r="DR147" i="8" s="1"/>
  <c r="DU147" i="8" s="1"/>
  <c r="AV148" i="8"/>
  <c r="AP148" i="8"/>
  <c r="DK148" i="8"/>
  <c r="AS148" i="8"/>
  <c r="BU148" i="8"/>
  <c r="AQ148" i="8"/>
  <c r="BR148" i="8"/>
  <c r="BS148" i="8"/>
  <c r="BV148" i="8"/>
  <c r="AT148" i="8"/>
  <c r="BT148" i="8"/>
  <c r="AR148" i="8"/>
  <c r="BI148" i="8" l="1"/>
  <c r="AO148" i="8"/>
  <c r="BH147" i="8"/>
  <c r="BJ147" i="8" s="1"/>
  <c r="DT149" i="8"/>
  <c r="AY149" i="8"/>
  <c r="AX149" i="8"/>
  <c r="DQ149" i="8"/>
  <c r="AD149" i="8"/>
  <c r="AG149" i="8" s="1"/>
  <c r="AJ149" i="8" s="1"/>
  <c r="AN149" i="8"/>
  <c r="BQ149" i="8" s="1"/>
  <c r="CI149" i="8" s="1"/>
  <c r="DN149" i="8"/>
  <c r="AW149" i="8"/>
  <c r="X150" i="8"/>
  <c r="AK150" i="8" s="1"/>
  <c r="AA150" i="8"/>
  <c r="T150" i="8"/>
  <c r="AE150" i="8" s="1"/>
  <c r="V150" i="8"/>
  <c r="AH150" i="8" s="1"/>
  <c r="S150" i="8"/>
  <c r="AC150" i="8" s="1"/>
  <c r="Q151" i="8"/>
  <c r="R150" i="8"/>
  <c r="AB150" i="8" s="1"/>
  <c r="Y150" i="8"/>
  <c r="AL150" i="8" s="1"/>
  <c r="Z150" i="8"/>
  <c r="AM150" i="8" s="1"/>
  <c r="AU150" i="8" s="1"/>
  <c r="W150" i="8"/>
  <c r="AI150" i="8" s="1"/>
  <c r="U150" i="8"/>
  <c r="AF150" i="8" s="1"/>
  <c r="AV149" i="8"/>
  <c r="AP149" i="8"/>
  <c r="DK149" i="8"/>
  <c r="DW148" i="8"/>
  <c r="DI148" i="8"/>
  <c r="DL148" i="8" s="1"/>
  <c r="DO148" i="8" s="1"/>
  <c r="DR148" i="8" s="1"/>
  <c r="DU148" i="8" s="1"/>
  <c r="BR149" i="8"/>
  <c r="BS149" i="8"/>
  <c r="AQ149" i="8"/>
  <c r="AR149" i="8"/>
  <c r="BT149" i="8"/>
  <c r="AT149" i="8"/>
  <c r="BV149" i="8"/>
  <c r="BU149" i="8"/>
  <c r="AS149" i="8"/>
  <c r="BI149" i="8" l="1"/>
  <c r="BH148" i="8"/>
  <c r="BJ148" i="8" s="1"/>
  <c r="AO149" i="8"/>
  <c r="DW149" i="8"/>
  <c r="Y151" i="8"/>
  <c r="AL151" i="8" s="1"/>
  <c r="V151" i="8"/>
  <c r="AH151" i="8" s="1"/>
  <c r="W151" i="8"/>
  <c r="AI151" i="8" s="1"/>
  <c r="X151" i="8"/>
  <c r="AK151" i="8" s="1"/>
  <c r="U151" i="8"/>
  <c r="AF151" i="8" s="1"/>
  <c r="S151" i="8"/>
  <c r="AC151" i="8" s="1"/>
  <c r="AA151" i="8"/>
  <c r="Z151" i="8"/>
  <c r="AM151" i="8" s="1"/>
  <c r="AU151" i="8" s="1"/>
  <c r="Q152" i="8"/>
  <c r="T151" i="8"/>
  <c r="AE151" i="8" s="1"/>
  <c r="R151" i="8"/>
  <c r="AB151" i="8" s="1"/>
  <c r="DI149" i="8"/>
  <c r="DL149" i="8" s="1"/>
  <c r="DO149" i="8" s="1"/>
  <c r="DR149" i="8" s="1"/>
  <c r="DU149" i="8" s="1"/>
  <c r="DK150" i="8"/>
  <c r="AP150" i="8"/>
  <c r="AV150" i="8"/>
  <c r="DN150" i="8"/>
  <c r="AW150" i="8"/>
  <c r="DQ150" i="8"/>
  <c r="AX150" i="8"/>
  <c r="AD150" i="8"/>
  <c r="AG150" i="8" s="1"/>
  <c r="AJ150" i="8" s="1"/>
  <c r="AN150" i="8"/>
  <c r="BQ150" i="8" s="1"/>
  <c r="CI150" i="8" s="1"/>
  <c r="DT150" i="8"/>
  <c r="AY150" i="8"/>
  <c r="AS150" i="8"/>
  <c r="BU150" i="8"/>
  <c r="BS150" i="8"/>
  <c r="BR150" i="8"/>
  <c r="AQ150" i="8"/>
  <c r="AT150" i="8"/>
  <c r="BV150" i="8"/>
  <c r="AR150" i="8"/>
  <c r="BT150" i="8"/>
  <c r="AO150" i="8" l="1"/>
  <c r="BI150" i="8"/>
  <c r="BH149" i="8"/>
  <c r="BJ149" i="8" s="1"/>
  <c r="AX151" i="8"/>
  <c r="DQ151" i="8"/>
  <c r="AY151" i="8"/>
  <c r="DT151" i="8"/>
  <c r="U152" i="8"/>
  <c r="AF152" i="8" s="1"/>
  <c r="R152" i="8"/>
  <c r="AB152" i="8" s="1"/>
  <c r="S152" i="8"/>
  <c r="AC152" i="8" s="1"/>
  <c r="T152" i="8"/>
  <c r="AE152" i="8" s="1"/>
  <c r="AA152" i="8"/>
  <c r="Z152" i="8"/>
  <c r="AM152" i="8" s="1"/>
  <c r="AU152" i="8" s="1"/>
  <c r="Y152" i="8"/>
  <c r="AL152" i="8" s="1"/>
  <c r="V152" i="8"/>
  <c r="AH152" i="8" s="1"/>
  <c r="Q153" i="8"/>
  <c r="X152" i="8"/>
  <c r="AK152" i="8" s="1"/>
  <c r="W152" i="8"/>
  <c r="AI152" i="8" s="1"/>
  <c r="DW150" i="8"/>
  <c r="AD151" i="8"/>
  <c r="AG151" i="8" s="1"/>
  <c r="AJ151" i="8" s="1"/>
  <c r="AN151" i="8"/>
  <c r="BQ151" i="8" s="1"/>
  <c r="CI151" i="8" s="1"/>
  <c r="DI150" i="8"/>
  <c r="DL150" i="8" s="1"/>
  <c r="DO150" i="8" s="1"/>
  <c r="DR150" i="8" s="1"/>
  <c r="DU150" i="8" s="1"/>
  <c r="AP151" i="8"/>
  <c r="DK151" i="8"/>
  <c r="AV151" i="8"/>
  <c r="AW151" i="8"/>
  <c r="DN151" i="8"/>
  <c r="BT151" i="8"/>
  <c r="AR151" i="8"/>
  <c r="AS151" i="8"/>
  <c r="BU151" i="8"/>
  <c r="BS151" i="8"/>
  <c r="BR151" i="8"/>
  <c r="AQ151" i="8"/>
  <c r="BV151" i="8"/>
  <c r="AT151" i="8"/>
  <c r="BI151" i="8" l="1"/>
  <c r="DW151" i="8"/>
  <c r="BH150" i="8"/>
  <c r="BJ150" i="8" s="1"/>
  <c r="AO151" i="8"/>
  <c r="AX152" i="8"/>
  <c r="DQ152" i="8"/>
  <c r="DK152" i="8"/>
  <c r="AP152" i="8"/>
  <c r="AV152" i="8"/>
  <c r="AW152" i="8"/>
  <c r="DN152" i="8"/>
  <c r="DT152" i="8"/>
  <c r="AY152" i="8"/>
  <c r="S153" i="8"/>
  <c r="AC153" i="8" s="1"/>
  <c r="U153" i="8"/>
  <c r="AF153" i="8" s="1"/>
  <c r="Z153" i="8"/>
  <c r="AM153" i="8" s="1"/>
  <c r="AU153" i="8" s="1"/>
  <c r="W153" i="8"/>
  <c r="AI153" i="8" s="1"/>
  <c r="X153" i="8"/>
  <c r="AK153" i="8" s="1"/>
  <c r="Q154" i="8"/>
  <c r="T153" i="8"/>
  <c r="AE153" i="8" s="1"/>
  <c r="AA153" i="8"/>
  <c r="R153" i="8"/>
  <c r="AB153" i="8" s="1"/>
  <c r="Y153" i="8"/>
  <c r="AL153" i="8" s="1"/>
  <c r="V153" i="8"/>
  <c r="AH153" i="8" s="1"/>
  <c r="DI151" i="8"/>
  <c r="DL151" i="8" s="1"/>
  <c r="DO151" i="8" s="1"/>
  <c r="DR151" i="8" s="1"/>
  <c r="DU151" i="8" s="1"/>
  <c r="AD152" i="8"/>
  <c r="AG152" i="8" s="1"/>
  <c r="AJ152" i="8" s="1"/>
  <c r="AN152" i="8"/>
  <c r="BQ152" i="8" s="1"/>
  <c r="CI152" i="8" s="1"/>
  <c r="BU152" i="8"/>
  <c r="AS152" i="8"/>
  <c r="AR152" i="8"/>
  <c r="BT152" i="8"/>
  <c r="AT152" i="8"/>
  <c r="BV152" i="8"/>
  <c r="AQ152" i="8"/>
  <c r="BS152" i="8"/>
  <c r="BR152" i="8"/>
  <c r="BI152" i="8" l="1"/>
  <c r="BH151" i="8"/>
  <c r="BJ151" i="8" s="1"/>
  <c r="U154" i="8"/>
  <c r="AF154" i="8" s="1"/>
  <c r="Y154" i="8"/>
  <c r="AL154" i="8" s="1"/>
  <c r="S154" i="8"/>
  <c r="AC154" i="8" s="1"/>
  <c r="X154" i="8"/>
  <c r="AK154" i="8" s="1"/>
  <c r="AA154" i="8"/>
  <c r="T154" i="8"/>
  <c r="AE154" i="8" s="1"/>
  <c r="V154" i="8"/>
  <c r="AH154" i="8" s="1"/>
  <c r="R154" i="8"/>
  <c r="AB154" i="8" s="1"/>
  <c r="Q155" i="8"/>
  <c r="Z154" i="8"/>
  <c r="AM154" i="8" s="1"/>
  <c r="AU154" i="8" s="1"/>
  <c r="W154" i="8"/>
  <c r="AI154" i="8" s="1"/>
  <c r="DQ153" i="8"/>
  <c r="AX153" i="8"/>
  <c r="DW152" i="8"/>
  <c r="AY153" i="8"/>
  <c r="DT153" i="8"/>
  <c r="DN153" i="8"/>
  <c r="AW153" i="8"/>
  <c r="DI152" i="8"/>
  <c r="DL152" i="8" s="1"/>
  <c r="DO152" i="8" s="1"/>
  <c r="DR152" i="8" s="1"/>
  <c r="DU152" i="8" s="1"/>
  <c r="AP153" i="8"/>
  <c r="BI153" i="8" s="1"/>
  <c r="AV153" i="8"/>
  <c r="DK153" i="8"/>
  <c r="AO152" i="8"/>
  <c r="AN153" i="8"/>
  <c r="BQ153" i="8" s="1"/>
  <c r="CI153" i="8" s="1"/>
  <c r="AD153" i="8"/>
  <c r="AG153" i="8" s="1"/>
  <c r="AJ153" i="8" s="1"/>
  <c r="AQ153" i="8"/>
  <c r="BS153" i="8"/>
  <c r="BR153" i="8"/>
  <c r="BT153" i="8"/>
  <c r="AR153" i="8"/>
  <c r="AS153" i="8"/>
  <c r="BU153" i="8"/>
  <c r="AT153" i="8"/>
  <c r="BV153" i="8"/>
  <c r="BH152" i="8" l="1"/>
  <c r="BJ152" i="8" s="1"/>
  <c r="AO153" i="8"/>
  <c r="DI153" i="8"/>
  <c r="DL153" i="8" s="1"/>
  <c r="DO153" i="8" s="1"/>
  <c r="DR153" i="8" s="1"/>
  <c r="DU153" i="8" s="1"/>
  <c r="AD154" i="8"/>
  <c r="AG154" i="8" s="1"/>
  <c r="AJ154" i="8" s="1"/>
  <c r="AN154" i="8"/>
  <c r="BQ154" i="8" s="1"/>
  <c r="CI154" i="8" s="1"/>
  <c r="AX154" i="8"/>
  <c r="DQ154" i="8"/>
  <c r="AV154" i="8"/>
  <c r="AP154" i="8"/>
  <c r="BI154" i="8" s="1"/>
  <c r="DK154" i="8"/>
  <c r="DT154" i="8"/>
  <c r="AY154" i="8"/>
  <c r="Q156" i="8"/>
  <c r="AA155" i="8"/>
  <c r="Z155" i="8"/>
  <c r="AM155" i="8" s="1"/>
  <c r="AU155" i="8" s="1"/>
  <c r="W155" i="8"/>
  <c r="AI155" i="8" s="1"/>
  <c r="T155" i="8"/>
  <c r="AE155" i="8" s="1"/>
  <c r="X155" i="8"/>
  <c r="AK155" i="8" s="1"/>
  <c r="R155" i="8"/>
  <c r="AB155" i="8" s="1"/>
  <c r="S155" i="8"/>
  <c r="AC155" i="8" s="1"/>
  <c r="V155" i="8"/>
  <c r="AH155" i="8" s="1"/>
  <c r="Y155" i="8"/>
  <c r="AL155" i="8" s="1"/>
  <c r="U155" i="8"/>
  <c r="AF155" i="8" s="1"/>
  <c r="DN154" i="8"/>
  <c r="AW154" i="8"/>
  <c r="DW153" i="8"/>
  <c r="AT154" i="8"/>
  <c r="BV154" i="8"/>
  <c r="BU154" i="8"/>
  <c r="AS154" i="8"/>
  <c r="AQ154" i="8"/>
  <c r="BS154" i="8"/>
  <c r="BR154" i="8"/>
  <c r="AR154" i="8"/>
  <c r="BT154" i="8"/>
  <c r="AO154" i="8" l="1"/>
  <c r="DW154" i="8"/>
  <c r="BH153" i="8"/>
  <c r="BJ153" i="8" s="1"/>
  <c r="AX155" i="8"/>
  <c r="DQ155" i="8"/>
  <c r="AW155" i="8"/>
  <c r="DN155" i="8"/>
  <c r="DT155" i="8"/>
  <c r="AY155" i="8"/>
  <c r="AN155" i="8"/>
  <c r="BQ155" i="8" s="1"/>
  <c r="CI155" i="8" s="1"/>
  <c r="AD155" i="8"/>
  <c r="AG155" i="8" s="1"/>
  <c r="AJ155" i="8" s="1"/>
  <c r="Z156" i="8"/>
  <c r="AM156" i="8" s="1"/>
  <c r="AU156" i="8" s="1"/>
  <c r="R156" i="8"/>
  <c r="AB156" i="8" s="1"/>
  <c r="Y156" i="8"/>
  <c r="AL156" i="8" s="1"/>
  <c r="V156" i="8"/>
  <c r="AH156" i="8" s="1"/>
  <c r="U156" i="8"/>
  <c r="AF156" i="8" s="1"/>
  <c r="W156" i="8"/>
  <c r="AI156" i="8" s="1"/>
  <c r="Q157" i="8"/>
  <c r="X156" i="8"/>
  <c r="AK156" i="8" s="1"/>
  <c r="AA156" i="8"/>
  <c r="T156" i="8"/>
  <c r="AE156" i="8" s="1"/>
  <c r="S156" i="8"/>
  <c r="AC156" i="8" s="1"/>
  <c r="DI154" i="8"/>
  <c r="DL154" i="8" s="1"/>
  <c r="DO154" i="8" s="1"/>
  <c r="DR154" i="8" s="1"/>
  <c r="DU154" i="8" s="1"/>
  <c r="AV155" i="8"/>
  <c r="DK155" i="8"/>
  <c r="AP155" i="8"/>
  <c r="AS155" i="8"/>
  <c r="BU155" i="8"/>
  <c r="AR155" i="8"/>
  <c r="BT155" i="8"/>
  <c r="BV155" i="8"/>
  <c r="AT155" i="8"/>
  <c r="AQ155" i="8"/>
  <c r="BR155" i="8"/>
  <c r="BS155" i="8"/>
  <c r="AO155" i="8" l="1"/>
  <c r="BI155" i="8"/>
  <c r="BH154" i="8"/>
  <c r="BJ154" i="8" s="1"/>
  <c r="DW155" i="8"/>
  <c r="Z157" i="8"/>
  <c r="AM157" i="8" s="1"/>
  <c r="AU157" i="8" s="1"/>
  <c r="R157" i="8"/>
  <c r="AB157" i="8" s="1"/>
  <c r="Y157" i="8"/>
  <c r="AL157" i="8" s="1"/>
  <c r="Q158" i="8"/>
  <c r="X157" i="8"/>
  <c r="AK157" i="8" s="1"/>
  <c r="W157" i="8"/>
  <c r="AI157" i="8" s="1"/>
  <c r="S157" i="8"/>
  <c r="AC157" i="8" s="1"/>
  <c r="U157" i="8"/>
  <c r="AF157" i="8" s="1"/>
  <c r="T157" i="8"/>
  <c r="AE157" i="8" s="1"/>
  <c r="AA157" i="8"/>
  <c r="V157" i="8"/>
  <c r="AH157" i="8" s="1"/>
  <c r="DI155" i="8"/>
  <c r="DL155" i="8" s="1"/>
  <c r="DO155" i="8" s="1"/>
  <c r="DR155" i="8" s="1"/>
  <c r="DU155" i="8" s="1"/>
  <c r="DQ156" i="8"/>
  <c r="AX156" i="8"/>
  <c r="DN156" i="8"/>
  <c r="AW156" i="8"/>
  <c r="DK156" i="8"/>
  <c r="AV156" i="8"/>
  <c r="AP156" i="8"/>
  <c r="AY156" i="8"/>
  <c r="DT156" i="8"/>
  <c r="AD156" i="8"/>
  <c r="AG156" i="8" s="1"/>
  <c r="AJ156" i="8" s="1"/>
  <c r="AN156" i="8"/>
  <c r="BQ156" i="8" s="1"/>
  <c r="CI156" i="8" s="1"/>
  <c r="AT156" i="8"/>
  <c r="BV156" i="8"/>
  <c r="BR156" i="8"/>
  <c r="AQ156" i="8"/>
  <c r="BS156" i="8"/>
  <c r="BT156" i="8"/>
  <c r="AR156" i="8"/>
  <c r="BU156" i="8"/>
  <c r="AS156" i="8"/>
  <c r="I222" i="8" l="1"/>
  <c r="R158" i="8"/>
  <c r="AB158" i="8" s="1"/>
  <c r="K316" i="8"/>
  <c r="I212" i="8"/>
  <c r="I195" i="8"/>
  <c r="BI156" i="8"/>
  <c r="BH155" i="8"/>
  <c r="BJ155" i="8" s="1"/>
  <c r="AO156" i="8"/>
  <c r="DT157" i="8"/>
  <c r="AY157" i="8"/>
  <c r="AN157" i="8"/>
  <c r="BQ157" i="8" s="1"/>
  <c r="CI157" i="8" s="1"/>
  <c r="AD157" i="8"/>
  <c r="AG157" i="8" s="1"/>
  <c r="AJ157" i="8" s="1"/>
  <c r="DN157" i="8"/>
  <c r="AW157" i="8"/>
  <c r="AV157" i="8"/>
  <c r="AP157" i="8"/>
  <c r="BI157" i="8" s="1"/>
  <c r="DK157" i="8"/>
  <c r="DI156" i="8"/>
  <c r="DL156" i="8" s="1"/>
  <c r="DO156" i="8" s="1"/>
  <c r="DR156" i="8" s="1"/>
  <c r="DU156" i="8" s="1"/>
  <c r="DQ157" i="8"/>
  <c r="AX157" i="8"/>
  <c r="DW156" i="8"/>
  <c r="U158" i="8"/>
  <c r="AF158" i="8" s="1"/>
  <c r="T158" i="8"/>
  <c r="AE158" i="8" s="1"/>
  <c r="Q159" i="8"/>
  <c r="V158" i="8"/>
  <c r="AH158" i="8" s="1"/>
  <c r="X158" i="8"/>
  <c r="AK158" i="8" s="1"/>
  <c r="AA158" i="8"/>
  <c r="Y158" i="8"/>
  <c r="AL158" i="8" s="1"/>
  <c r="W158" i="8"/>
  <c r="AI158" i="8" s="1"/>
  <c r="S158" i="8"/>
  <c r="AC158" i="8" s="1"/>
  <c r="Z158" i="8"/>
  <c r="AM158" i="8" s="1"/>
  <c r="AU158" i="8" s="1"/>
  <c r="BS157" i="8"/>
  <c r="BR157" i="8"/>
  <c r="AQ157" i="8"/>
  <c r="BV157" i="8"/>
  <c r="AT157" i="8"/>
  <c r="BU157" i="8"/>
  <c r="AS157" i="8"/>
  <c r="BT157" i="8"/>
  <c r="AR157" i="8"/>
  <c r="D316" i="8" l="1"/>
  <c r="C195" i="8"/>
  <c r="C222" i="8"/>
  <c r="C212" i="8"/>
  <c r="BH156" i="8"/>
  <c r="BJ156" i="8" s="1"/>
  <c r="AO157" i="8"/>
  <c r="DN158" i="8"/>
  <c r="AW158" i="8"/>
  <c r="DW157" i="8"/>
  <c r="AY158" i="8"/>
  <c r="DT158" i="8"/>
  <c r="DQ158" i="8"/>
  <c r="AX158" i="8"/>
  <c r="AD158" i="8"/>
  <c r="AG158" i="8" s="1"/>
  <c r="AJ158" i="8" s="1"/>
  <c r="AN158" i="8"/>
  <c r="BQ158" i="8" s="1"/>
  <c r="CI158" i="8" s="1"/>
  <c r="DI157" i="8"/>
  <c r="DL157" i="8" s="1"/>
  <c r="DO157" i="8" s="1"/>
  <c r="DR157" i="8" s="1"/>
  <c r="DU157" i="8" s="1"/>
  <c r="Q160" i="8"/>
  <c r="V159" i="8"/>
  <c r="AH159" i="8" s="1"/>
  <c r="AA159" i="8"/>
  <c r="R159" i="8"/>
  <c r="AB159" i="8" s="1"/>
  <c r="Z159" i="8"/>
  <c r="AM159" i="8" s="1"/>
  <c r="AU159" i="8" s="1"/>
  <c r="U159" i="8"/>
  <c r="AF159" i="8" s="1"/>
  <c r="Y159" i="8"/>
  <c r="AL159" i="8" s="1"/>
  <c r="T159" i="8"/>
  <c r="AE159" i="8" s="1"/>
  <c r="W159" i="8"/>
  <c r="AI159" i="8" s="1"/>
  <c r="S159" i="8"/>
  <c r="AC159" i="8" s="1"/>
  <c r="X159" i="8"/>
  <c r="AK159" i="8" s="1"/>
  <c r="DK158" i="8"/>
  <c r="AV158" i="8"/>
  <c r="AP158" i="8"/>
  <c r="BT158" i="8"/>
  <c r="AR158" i="8"/>
  <c r="AT158" i="8"/>
  <c r="BV158" i="8"/>
  <c r="BU158" i="8"/>
  <c r="AS158" i="8"/>
  <c r="BR158" i="8"/>
  <c r="BS158" i="8"/>
  <c r="AQ158" i="8"/>
  <c r="BI158" i="8" l="1"/>
  <c r="BH157" i="8"/>
  <c r="BJ157" i="8" s="1"/>
  <c r="DW158" i="8"/>
  <c r="AO158" i="8"/>
  <c r="AN159" i="8"/>
  <c r="BQ159" i="8" s="1"/>
  <c r="CI159" i="8" s="1"/>
  <c r="AD159" i="8"/>
  <c r="AG159" i="8" s="1"/>
  <c r="AJ159" i="8" s="1"/>
  <c r="AP159" i="8"/>
  <c r="AV159" i="8"/>
  <c r="DK159" i="8"/>
  <c r="DQ159" i="8"/>
  <c r="AX159" i="8"/>
  <c r="Q161" i="8"/>
  <c r="T160" i="8"/>
  <c r="AE160" i="8" s="1"/>
  <c r="Z160" i="8"/>
  <c r="AM160" i="8" s="1"/>
  <c r="AU160" i="8" s="1"/>
  <c r="X160" i="8"/>
  <c r="AK160" i="8" s="1"/>
  <c r="W160" i="8"/>
  <c r="AI160" i="8" s="1"/>
  <c r="AA160" i="8"/>
  <c r="U160" i="8"/>
  <c r="AF160" i="8" s="1"/>
  <c r="R160" i="8"/>
  <c r="AB160" i="8" s="1"/>
  <c r="S160" i="8"/>
  <c r="AC160" i="8" s="1"/>
  <c r="Y160" i="8"/>
  <c r="AL160" i="8" s="1"/>
  <c r="V160" i="8"/>
  <c r="AH160" i="8" s="1"/>
  <c r="AY159" i="8"/>
  <c r="DT159" i="8"/>
  <c r="AW159" i="8"/>
  <c r="DN159" i="8"/>
  <c r="DI158" i="8"/>
  <c r="DL158" i="8" s="1"/>
  <c r="DO158" i="8" s="1"/>
  <c r="DR158" i="8" s="1"/>
  <c r="DU158" i="8" s="1"/>
  <c r="BV159" i="8"/>
  <c r="AT159" i="8"/>
  <c r="BU159" i="8"/>
  <c r="AS159" i="8"/>
  <c r="BS159" i="8"/>
  <c r="AQ159" i="8"/>
  <c r="BR159" i="8"/>
  <c r="AR159" i="8"/>
  <c r="BT159" i="8"/>
  <c r="AO159" i="8" l="1"/>
  <c r="BI159" i="8"/>
  <c r="AW160" i="8"/>
  <c r="DN160" i="8"/>
  <c r="AD160" i="8"/>
  <c r="AG160" i="8" s="1"/>
  <c r="AJ160" i="8" s="1"/>
  <c r="AN160" i="8"/>
  <c r="BQ160" i="8" s="1"/>
  <c r="CI160" i="8" s="1"/>
  <c r="BH158" i="8"/>
  <c r="BJ158" i="8" s="1"/>
  <c r="AX160" i="8"/>
  <c r="DQ160" i="8"/>
  <c r="DW159" i="8"/>
  <c r="DT160" i="8"/>
  <c r="AY160" i="8"/>
  <c r="DK160" i="8"/>
  <c r="AV160" i="8"/>
  <c r="AP160" i="8"/>
  <c r="Z161" i="8"/>
  <c r="AM161" i="8" s="1"/>
  <c r="AU161" i="8" s="1"/>
  <c r="V161" i="8"/>
  <c r="AH161" i="8" s="1"/>
  <c r="U161" i="8"/>
  <c r="AF161" i="8" s="1"/>
  <c r="Y161" i="8"/>
  <c r="AL161" i="8" s="1"/>
  <c r="W161" i="8"/>
  <c r="AI161" i="8" s="1"/>
  <c r="T161" i="8"/>
  <c r="AE161" i="8" s="1"/>
  <c r="X161" i="8"/>
  <c r="AK161" i="8" s="1"/>
  <c r="S161" i="8"/>
  <c r="AC161" i="8" s="1"/>
  <c r="R161" i="8"/>
  <c r="AB161" i="8" s="1"/>
  <c r="AA161" i="8"/>
  <c r="Q162" i="8"/>
  <c r="DI159" i="8"/>
  <c r="DL159" i="8" s="1"/>
  <c r="DO159" i="8" s="1"/>
  <c r="DR159" i="8" s="1"/>
  <c r="DU159" i="8" s="1"/>
  <c r="AR160" i="8"/>
  <c r="BT160" i="8"/>
  <c r="BS160" i="8"/>
  <c r="AQ160" i="8"/>
  <c r="BR160" i="8"/>
  <c r="AS160" i="8"/>
  <c r="BU160" i="8"/>
  <c r="BV160" i="8"/>
  <c r="AT160" i="8"/>
  <c r="BI160" i="8" l="1"/>
  <c r="DW160" i="8"/>
  <c r="AO160" i="8"/>
  <c r="DQ161" i="8"/>
  <c r="AX161" i="8"/>
  <c r="AY161" i="8"/>
  <c r="DT161" i="8"/>
  <c r="BH159" i="8"/>
  <c r="BJ159" i="8" s="1"/>
  <c r="S162" i="8"/>
  <c r="AC162" i="8" s="1"/>
  <c r="Q163" i="8"/>
  <c r="Y162" i="8"/>
  <c r="AL162" i="8" s="1"/>
  <c r="T162" i="8"/>
  <c r="AE162" i="8" s="1"/>
  <c r="V162" i="8"/>
  <c r="AH162" i="8" s="1"/>
  <c r="Z162" i="8"/>
  <c r="AM162" i="8" s="1"/>
  <c r="AU162" i="8" s="1"/>
  <c r="U162" i="8"/>
  <c r="AF162" i="8" s="1"/>
  <c r="AA162" i="8"/>
  <c r="W162" i="8"/>
  <c r="AI162" i="8" s="1"/>
  <c r="X162" i="8"/>
  <c r="AK162" i="8" s="1"/>
  <c r="R162" i="8"/>
  <c r="AB162" i="8" s="1"/>
  <c r="AW161" i="8"/>
  <c r="DN161" i="8"/>
  <c r="DI160" i="8"/>
  <c r="DL160" i="8" s="1"/>
  <c r="DO160" i="8" s="1"/>
  <c r="DR160" i="8" s="1"/>
  <c r="DU160" i="8" s="1"/>
  <c r="AN161" i="8"/>
  <c r="BQ161" i="8" s="1"/>
  <c r="CI161" i="8" s="1"/>
  <c r="AD161" i="8"/>
  <c r="AG161" i="8" s="1"/>
  <c r="AJ161" i="8" s="1"/>
  <c r="AV161" i="8"/>
  <c r="AP161" i="8"/>
  <c r="DK161" i="8"/>
  <c r="BV161" i="8"/>
  <c r="AT161" i="8"/>
  <c r="AQ161" i="8"/>
  <c r="BR161" i="8"/>
  <c r="BS161" i="8"/>
  <c r="BT161" i="8"/>
  <c r="AR161" i="8"/>
  <c r="BU161" i="8"/>
  <c r="AS161" i="8"/>
  <c r="BI161" i="8" l="1"/>
  <c r="AO161" i="8"/>
  <c r="BH160" i="8"/>
  <c r="BJ160" i="8" s="1"/>
  <c r="U163" i="8"/>
  <c r="AF163" i="8" s="1"/>
  <c r="S163" i="8"/>
  <c r="AC163" i="8" s="1"/>
  <c r="Y163" i="8"/>
  <c r="AL163" i="8" s="1"/>
  <c r="T163" i="8"/>
  <c r="AE163" i="8" s="1"/>
  <c r="Q164" i="8"/>
  <c r="R163" i="8"/>
  <c r="AB163" i="8" s="1"/>
  <c r="AA163" i="8"/>
  <c r="V163" i="8"/>
  <c r="AH163" i="8" s="1"/>
  <c r="Z163" i="8"/>
  <c r="AM163" i="8" s="1"/>
  <c r="AU163" i="8" s="1"/>
  <c r="X163" i="8"/>
  <c r="AK163" i="8" s="1"/>
  <c r="W163" i="8"/>
  <c r="AI163" i="8" s="1"/>
  <c r="DQ162" i="8"/>
  <c r="AX162" i="8"/>
  <c r="AP162" i="8"/>
  <c r="AV162" i="8"/>
  <c r="DK162" i="8"/>
  <c r="DI161" i="8"/>
  <c r="DL161" i="8" s="1"/>
  <c r="DO161" i="8" s="1"/>
  <c r="DR161" i="8" s="1"/>
  <c r="DU161" i="8" s="1"/>
  <c r="AD162" i="8"/>
  <c r="AG162" i="8" s="1"/>
  <c r="AJ162" i="8" s="1"/>
  <c r="AN162" i="8"/>
  <c r="BQ162" i="8" s="1"/>
  <c r="CI162" i="8" s="1"/>
  <c r="DN162" i="8"/>
  <c r="AW162" i="8"/>
  <c r="DW161" i="8"/>
  <c r="AY162" i="8"/>
  <c r="DT162" i="8"/>
  <c r="BS162" i="8"/>
  <c r="AQ162" i="8"/>
  <c r="BR162" i="8"/>
  <c r="BU162" i="8"/>
  <c r="AS162" i="8"/>
  <c r="BV162" i="8"/>
  <c r="AT162" i="8"/>
  <c r="BT162" i="8"/>
  <c r="AR162" i="8"/>
  <c r="BI162" i="8" l="1"/>
  <c r="AO162" i="8"/>
  <c r="BH161" i="8"/>
  <c r="BJ161" i="8" s="1"/>
  <c r="AN163" i="8"/>
  <c r="BQ163" i="8" s="1"/>
  <c r="CI163" i="8" s="1"/>
  <c r="AD163" i="8"/>
  <c r="AG163" i="8" s="1"/>
  <c r="AJ163" i="8" s="1"/>
  <c r="DI162" i="8"/>
  <c r="DL162" i="8" s="1"/>
  <c r="DO162" i="8" s="1"/>
  <c r="DR162" i="8" s="1"/>
  <c r="DU162" i="8" s="1"/>
  <c r="DW162" i="8"/>
  <c r="T164" i="8"/>
  <c r="AE164" i="8" s="1"/>
  <c r="Y164" i="8"/>
  <c r="AL164" i="8" s="1"/>
  <c r="S164" i="8"/>
  <c r="AC164" i="8" s="1"/>
  <c r="AA164" i="8"/>
  <c r="R164" i="8"/>
  <c r="AB164" i="8" s="1"/>
  <c r="Q165" i="8"/>
  <c r="X164" i="8"/>
  <c r="AK164" i="8" s="1"/>
  <c r="Z164" i="8"/>
  <c r="AM164" i="8" s="1"/>
  <c r="AU164" i="8" s="1"/>
  <c r="V164" i="8"/>
  <c r="AH164" i="8" s="1"/>
  <c r="W164" i="8"/>
  <c r="AI164" i="8" s="1"/>
  <c r="U164" i="8"/>
  <c r="AF164" i="8" s="1"/>
  <c r="AX163" i="8"/>
  <c r="DQ163" i="8"/>
  <c r="DT163" i="8"/>
  <c r="AY163" i="8"/>
  <c r="DK163" i="8"/>
  <c r="AV163" i="8"/>
  <c r="AP163" i="8"/>
  <c r="DN163" i="8"/>
  <c r="AW163" i="8"/>
  <c r="AS163" i="8"/>
  <c r="BU163" i="8"/>
  <c r="AR163" i="8"/>
  <c r="BT163" i="8"/>
  <c r="AQ163" i="8"/>
  <c r="BS163" i="8"/>
  <c r="BR163" i="8"/>
  <c r="BV163" i="8"/>
  <c r="AT163" i="8"/>
  <c r="BI163" i="8" l="1"/>
  <c r="BH162" i="8"/>
  <c r="BJ162" i="8" s="1"/>
  <c r="AO163" i="8"/>
  <c r="S165" i="8"/>
  <c r="AC165" i="8" s="1"/>
  <c r="U165" i="8"/>
  <c r="AF165" i="8" s="1"/>
  <c r="Q166" i="8"/>
  <c r="X165" i="8"/>
  <c r="AK165" i="8" s="1"/>
  <c r="Y165" i="8"/>
  <c r="AL165" i="8" s="1"/>
  <c r="R165" i="8"/>
  <c r="AB165" i="8" s="1"/>
  <c r="Z165" i="8"/>
  <c r="AM165" i="8" s="1"/>
  <c r="AU165" i="8" s="1"/>
  <c r="T165" i="8"/>
  <c r="AE165" i="8" s="1"/>
  <c r="V165" i="8"/>
  <c r="AH165" i="8" s="1"/>
  <c r="AA165" i="8"/>
  <c r="W165" i="8"/>
  <c r="AI165" i="8" s="1"/>
  <c r="AN164" i="8"/>
  <c r="BQ164" i="8" s="1"/>
  <c r="CI164" i="8" s="1"/>
  <c r="AD164" i="8"/>
  <c r="AG164" i="8" s="1"/>
  <c r="AJ164" i="8" s="1"/>
  <c r="DN164" i="8"/>
  <c r="AW164" i="8"/>
  <c r="DK164" i="8"/>
  <c r="AP164" i="8"/>
  <c r="AV164" i="8"/>
  <c r="DW163" i="8"/>
  <c r="DQ164" i="8"/>
  <c r="AX164" i="8"/>
  <c r="AY164" i="8"/>
  <c r="DT164" i="8"/>
  <c r="DI163" i="8"/>
  <c r="DL163" i="8" s="1"/>
  <c r="DO163" i="8" s="1"/>
  <c r="DR163" i="8" s="1"/>
  <c r="DU163" i="8" s="1"/>
  <c r="BT164" i="8"/>
  <c r="AR164" i="8"/>
  <c r="AQ164" i="8"/>
  <c r="BR164" i="8"/>
  <c r="BS164" i="8"/>
  <c r="BU164" i="8"/>
  <c r="AS164" i="8"/>
  <c r="AT164" i="8"/>
  <c r="BV164" i="8"/>
  <c r="BI164" i="8" l="1"/>
  <c r="BH163" i="8"/>
  <c r="BJ163" i="8" s="1"/>
  <c r="DW164" i="8"/>
  <c r="AO164" i="8"/>
  <c r="DT165" i="8"/>
  <c r="AY165" i="8"/>
  <c r="DI164" i="8"/>
  <c r="DL164" i="8" s="1"/>
  <c r="DO164" i="8" s="1"/>
  <c r="DR164" i="8" s="1"/>
  <c r="DU164" i="8" s="1"/>
  <c r="DQ165" i="8"/>
  <c r="AX165" i="8"/>
  <c r="S166" i="8"/>
  <c r="AC166" i="8" s="1"/>
  <c r="W166" i="8"/>
  <c r="AI166" i="8" s="1"/>
  <c r="T166" i="8"/>
  <c r="AE166" i="8" s="1"/>
  <c r="AA166" i="8"/>
  <c r="V166" i="8"/>
  <c r="AH166" i="8" s="1"/>
  <c r="Q167" i="8"/>
  <c r="R166" i="8"/>
  <c r="AB166" i="8" s="1"/>
  <c r="Z166" i="8"/>
  <c r="AM166" i="8" s="1"/>
  <c r="AU166" i="8" s="1"/>
  <c r="U166" i="8"/>
  <c r="AF166" i="8" s="1"/>
  <c r="X166" i="8"/>
  <c r="AK166" i="8" s="1"/>
  <c r="Y166" i="8"/>
  <c r="AL166" i="8" s="1"/>
  <c r="AN165" i="8"/>
  <c r="BQ165" i="8" s="1"/>
  <c r="CI165" i="8" s="1"/>
  <c r="AD165" i="8"/>
  <c r="AG165" i="8" s="1"/>
  <c r="AJ165" i="8" s="1"/>
  <c r="AW165" i="8"/>
  <c r="DN165" i="8"/>
  <c r="DK165" i="8"/>
  <c r="AV165" i="8"/>
  <c r="AP165" i="8"/>
  <c r="BS165" i="8"/>
  <c r="AQ165" i="8"/>
  <c r="BR165" i="8"/>
  <c r="BU165" i="8"/>
  <c r="AS165" i="8"/>
  <c r="AT165" i="8"/>
  <c r="BV165" i="8"/>
  <c r="AR165" i="8"/>
  <c r="BT165" i="8"/>
  <c r="BI165" i="8" l="1"/>
  <c r="BH164" i="8"/>
  <c r="BJ164" i="8" s="1"/>
  <c r="DW165" i="8"/>
  <c r="R167" i="8"/>
  <c r="AB167" i="8" s="1"/>
  <c r="Q168" i="8"/>
  <c r="X167" i="8"/>
  <c r="AK167" i="8" s="1"/>
  <c r="T167" i="8"/>
  <c r="AE167" i="8" s="1"/>
  <c r="AA167" i="8"/>
  <c r="Z167" i="8"/>
  <c r="AM167" i="8" s="1"/>
  <c r="AU167" i="8" s="1"/>
  <c r="V167" i="8"/>
  <c r="AH167" i="8" s="1"/>
  <c r="Y167" i="8"/>
  <c r="AL167" i="8" s="1"/>
  <c r="U167" i="8"/>
  <c r="AF167" i="8" s="1"/>
  <c r="W167" i="8"/>
  <c r="AI167" i="8" s="1"/>
  <c r="S167" i="8"/>
  <c r="AC167" i="8" s="1"/>
  <c r="DI165" i="8"/>
  <c r="DL165" i="8" s="1"/>
  <c r="DO165" i="8" s="1"/>
  <c r="DR165" i="8" s="1"/>
  <c r="DU165" i="8" s="1"/>
  <c r="AD166" i="8"/>
  <c r="AG166" i="8" s="1"/>
  <c r="AJ166" i="8" s="1"/>
  <c r="AN166" i="8"/>
  <c r="BQ166" i="8" s="1"/>
  <c r="CI166" i="8" s="1"/>
  <c r="DT166" i="8"/>
  <c r="AY166" i="8"/>
  <c r="DQ166" i="8"/>
  <c r="AX166" i="8"/>
  <c r="DK166" i="8"/>
  <c r="AP166" i="8"/>
  <c r="AV166" i="8"/>
  <c r="AW166" i="8"/>
  <c r="DN166" i="8"/>
  <c r="AO165" i="8"/>
  <c r="AQ166" i="8"/>
  <c r="BS166" i="8"/>
  <c r="BR166" i="8"/>
  <c r="BT166" i="8"/>
  <c r="AR166" i="8"/>
  <c r="BV166" i="8"/>
  <c r="AT166" i="8"/>
  <c r="BU166" i="8"/>
  <c r="AS166" i="8"/>
  <c r="BI166" i="8" l="1"/>
  <c r="BH165" i="8"/>
  <c r="BJ165" i="8" s="1"/>
  <c r="AO166" i="8"/>
  <c r="DQ167" i="8"/>
  <c r="AX167" i="8"/>
  <c r="Z168" i="8"/>
  <c r="AM168" i="8" s="1"/>
  <c r="AU168" i="8" s="1"/>
  <c r="V168" i="8"/>
  <c r="AH168" i="8" s="1"/>
  <c r="Y168" i="8"/>
  <c r="AL168" i="8" s="1"/>
  <c r="U168" i="8"/>
  <c r="AF168" i="8" s="1"/>
  <c r="W168" i="8"/>
  <c r="AI168" i="8" s="1"/>
  <c r="T168" i="8"/>
  <c r="AE168" i="8" s="1"/>
  <c r="AA168" i="8"/>
  <c r="R168" i="8"/>
  <c r="AB168" i="8" s="1"/>
  <c r="Q169" i="8"/>
  <c r="X168" i="8"/>
  <c r="AK168" i="8" s="1"/>
  <c r="S168" i="8"/>
  <c r="AC168" i="8" s="1"/>
  <c r="DK167" i="8"/>
  <c r="AV167" i="8"/>
  <c r="AP167" i="8"/>
  <c r="DT167" i="8"/>
  <c r="AY167" i="8"/>
  <c r="DN167" i="8"/>
  <c r="AW167" i="8"/>
  <c r="DI166" i="8"/>
  <c r="DL166" i="8" s="1"/>
  <c r="DO166" i="8" s="1"/>
  <c r="DR166" i="8" s="1"/>
  <c r="DU166" i="8" s="1"/>
  <c r="DW166" i="8"/>
  <c r="AD167" i="8"/>
  <c r="AG167" i="8" s="1"/>
  <c r="AJ167" i="8" s="1"/>
  <c r="AN167" i="8"/>
  <c r="BQ167" i="8" s="1"/>
  <c r="CI167" i="8" s="1"/>
  <c r="AR167" i="8"/>
  <c r="BT167" i="8"/>
  <c r="BU167" i="8"/>
  <c r="AS167" i="8"/>
  <c r="BR167" i="8"/>
  <c r="AQ167" i="8"/>
  <c r="BS167" i="8"/>
  <c r="BV167" i="8"/>
  <c r="AT167" i="8"/>
  <c r="BI167" i="8" l="1"/>
  <c r="DW167" i="8"/>
  <c r="BH166" i="8"/>
  <c r="AO167" i="8"/>
  <c r="DQ168" i="8"/>
  <c r="AX168" i="8"/>
  <c r="DI167" i="8"/>
  <c r="DL167" i="8" s="1"/>
  <c r="DO167" i="8" s="1"/>
  <c r="DR167" i="8" s="1"/>
  <c r="DU167" i="8" s="1"/>
  <c r="AW168" i="8"/>
  <c r="DN168" i="8"/>
  <c r="AP168" i="8"/>
  <c r="BI168" i="8" s="1"/>
  <c r="AV168" i="8"/>
  <c r="DK168" i="8"/>
  <c r="AY168" i="8"/>
  <c r="DT168" i="8"/>
  <c r="R169" i="8"/>
  <c r="AB169" i="8" s="1"/>
  <c r="Q170" i="8"/>
  <c r="X169" i="8"/>
  <c r="AK169" i="8" s="1"/>
  <c r="AA169" i="8"/>
  <c r="T169" i="8"/>
  <c r="AE169" i="8" s="1"/>
  <c r="Z169" i="8"/>
  <c r="AM169" i="8" s="1"/>
  <c r="AU169" i="8" s="1"/>
  <c r="V169" i="8"/>
  <c r="AH169" i="8" s="1"/>
  <c r="Y169" i="8"/>
  <c r="AL169" i="8" s="1"/>
  <c r="W169" i="8"/>
  <c r="AI169" i="8" s="1"/>
  <c r="S169" i="8"/>
  <c r="AC169" i="8" s="1"/>
  <c r="U169" i="8"/>
  <c r="AF169" i="8" s="1"/>
  <c r="AN168" i="8"/>
  <c r="BQ168" i="8" s="1"/>
  <c r="CI168" i="8" s="1"/>
  <c r="AD168" i="8"/>
  <c r="AG168" i="8" s="1"/>
  <c r="AJ168" i="8" s="1"/>
  <c r="BR168" i="8"/>
  <c r="AQ168" i="8"/>
  <c r="BS168" i="8"/>
  <c r="BT168" i="8"/>
  <c r="AR168" i="8"/>
  <c r="AS168" i="8"/>
  <c r="BU168" i="8"/>
  <c r="AT168" i="8"/>
  <c r="BV168" i="8"/>
  <c r="AO168" i="8" l="1"/>
  <c r="BJ166" i="8"/>
  <c r="BH167" i="8" s="1"/>
  <c r="BJ167" i="8" s="1"/>
  <c r="DN169" i="8"/>
  <c r="AW169" i="8"/>
  <c r="DK169" i="8"/>
  <c r="AV169" i="8"/>
  <c r="AP169" i="8"/>
  <c r="AA170" i="8"/>
  <c r="X170" i="8"/>
  <c r="AK170" i="8" s="1"/>
  <c r="Q171" i="8"/>
  <c r="R170" i="8"/>
  <c r="AB170" i="8" s="1"/>
  <c r="Z170" i="8"/>
  <c r="AM170" i="8" s="1"/>
  <c r="AU170" i="8" s="1"/>
  <c r="Y170" i="8"/>
  <c r="AL170" i="8" s="1"/>
  <c r="U170" i="8"/>
  <c r="AF170" i="8" s="1"/>
  <c r="T170" i="8"/>
  <c r="AE170" i="8" s="1"/>
  <c r="W170" i="8"/>
  <c r="AI170" i="8" s="1"/>
  <c r="V170" i="8"/>
  <c r="AH170" i="8" s="1"/>
  <c r="S170" i="8"/>
  <c r="AC170" i="8" s="1"/>
  <c r="DT169" i="8"/>
  <c r="AY169" i="8"/>
  <c r="AX169" i="8"/>
  <c r="DQ169" i="8"/>
  <c r="DI168" i="8"/>
  <c r="DL168" i="8" s="1"/>
  <c r="DO168" i="8" s="1"/>
  <c r="DR168" i="8" s="1"/>
  <c r="DU168" i="8" s="1"/>
  <c r="AN169" i="8"/>
  <c r="BQ169" i="8" s="1"/>
  <c r="CI169" i="8" s="1"/>
  <c r="AD169" i="8"/>
  <c r="AG169" i="8" s="1"/>
  <c r="AJ169" i="8" s="1"/>
  <c r="DW168" i="8"/>
  <c r="BV169" i="8"/>
  <c r="AT169" i="8"/>
  <c r="AR169" i="8"/>
  <c r="BT169" i="8"/>
  <c r="BR169" i="8"/>
  <c r="AQ169" i="8"/>
  <c r="BS169" i="8"/>
  <c r="AS169" i="8"/>
  <c r="BU169" i="8"/>
  <c r="AO169" i="8" l="1"/>
  <c r="BI169" i="8"/>
  <c r="BH168" i="8"/>
  <c r="BJ168" i="8" s="1"/>
  <c r="DK170" i="8"/>
  <c r="AP170" i="8"/>
  <c r="AV170" i="8"/>
  <c r="AA171" i="8"/>
  <c r="R171" i="8"/>
  <c r="AB171" i="8" s="1"/>
  <c r="Q172" i="8"/>
  <c r="V171" i="8"/>
  <c r="AH171" i="8" s="1"/>
  <c r="T171" i="8"/>
  <c r="AE171" i="8" s="1"/>
  <c r="W171" i="8"/>
  <c r="AI171" i="8" s="1"/>
  <c r="U171" i="8"/>
  <c r="AF171" i="8" s="1"/>
  <c r="Z171" i="8"/>
  <c r="AM171" i="8" s="1"/>
  <c r="AU171" i="8" s="1"/>
  <c r="Y171" i="8"/>
  <c r="AL171" i="8" s="1"/>
  <c r="X171" i="8"/>
  <c r="AK171" i="8" s="1"/>
  <c r="S171" i="8"/>
  <c r="AC171" i="8" s="1"/>
  <c r="AX170" i="8"/>
  <c r="DQ170" i="8"/>
  <c r="AD170" i="8"/>
  <c r="AG170" i="8" s="1"/>
  <c r="AJ170" i="8" s="1"/>
  <c r="AN170" i="8"/>
  <c r="BQ170" i="8" s="1"/>
  <c r="CI170" i="8" s="1"/>
  <c r="DW169" i="8"/>
  <c r="DI169" i="8"/>
  <c r="DL169" i="8" s="1"/>
  <c r="DO169" i="8" s="1"/>
  <c r="DR169" i="8" s="1"/>
  <c r="DU169" i="8" s="1"/>
  <c r="AW170" i="8"/>
  <c r="DN170" i="8"/>
  <c r="DT170" i="8"/>
  <c r="AY170" i="8"/>
  <c r="BR170" i="8"/>
  <c r="BS170" i="8"/>
  <c r="AQ170" i="8"/>
  <c r="AT170" i="8"/>
  <c r="BV170" i="8"/>
  <c r="BT170" i="8"/>
  <c r="AR170" i="8"/>
  <c r="BU170" i="8"/>
  <c r="AS170" i="8"/>
  <c r="AO170" i="8" l="1"/>
  <c r="BI170" i="8"/>
  <c r="BH169" i="8"/>
  <c r="BJ169" i="8" s="1"/>
  <c r="DW170" i="8"/>
  <c r="DK171" i="8"/>
  <c r="AP171" i="8"/>
  <c r="AV171" i="8"/>
  <c r="W172" i="8"/>
  <c r="AI172" i="8" s="1"/>
  <c r="U172" i="8"/>
  <c r="AF172" i="8" s="1"/>
  <c r="X172" i="8"/>
  <c r="AK172" i="8" s="1"/>
  <c r="Y172" i="8"/>
  <c r="AL172" i="8" s="1"/>
  <c r="S172" i="8"/>
  <c r="AC172" i="8" s="1"/>
  <c r="Q173" i="8"/>
  <c r="V172" i="8"/>
  <c r="AH172" i="8" s="1"/>
  <c r="R172" i="8"/>
  <c r="AB172" i="8" s="1"/>
  <c r="T172" i="8"/>
  <c r="AE172" i="8" s="1"/>
  <c r="AA172" i="8"/>
  <c r="Z172" i="8"/>
  <c r="AM172" i="8" s="1"/>
  <c r="AU172" i="8" s="1"/>
  <c r="DT171" i="8"/>
  <c r="AY171" i="8"/>
  <c r="AD171" i="8"/>
  <c r="AG171" i="8" s="1"/>
  <c r="AJ171" i="8" s="1"/>
  <c r="AN171" i="8"/>
  <c r="BQ171" i="8" s="1"/>
  <c r="CI171" i="8" s="1"/>
  <c r="DI170" i="8"/>
  <c r="DL170" i="8" s="1"/>
  <c r="DO170" i="8" s="1"/>
  <c r="DR170" i="8" s="1"/>
  <c r="DU170" i="8" s="1"/>
  <c r="DN171" i="8"/>
  <c r="AW171" i="8"/>
  <c r="DQ171" i="8"/>
  <c r="AX171" i="8"/>
  <c r="BV171" i="8"/>
  <c r="AT171" i="8"/>
  <c r="BU171" i="8"/>
  <c r="AS171" i="8"/>
  <c r="BR171" i="8"/>
  <c r="BS171" i="8"/>
  <c r="AQ171" i="8"/>
  <c r="AR171" i="8"/>
  <c r="BT171" i="8"/>
  <c r="BI171" i="8" l="1"/>
  <c r="BH170" i="8"/>
  <c r="BJ170" i="8" s="1"/>
  <c r="AO171" i="8"/>
  <c r="DK172" i="8"/>
  <c r="AP172" i="8"/>
  <c r="BI172" i="8" s="1"/>
  <c r="AV172" i="8"/>
  <c r="AY172" i="8"/>
  <c r="DT172" i="8"/>
  <c r="AD172" i="8"/>
  <c r="AG172" i="8" s="1"/>
  <c r="AJ172" i="8" s="1"/>
  <c r="AN172" i="8"/>
  <c r="BQ172" i="8" s="1"/>
  <c r="CI172" i="8" s="1"/>
  <c r="DN172" i="8"/>
  <c r="AW172" i="8"/>
  <c r="AX172" i="8"/>
  <c r="DQ172" i="8"/>
  <c r="DW171" i="8"/>
  <c r="DI171" i="8"/>
  <c r="DL171" i="8" s="1"/>
  <c r="DO171" i="8" s="1"/>
  <c r="DR171" i="8" s="1"/>
  <c r="DU171" i="8" s="1"/>
  <c r="R173" i="8"/>
  <c r="AB173" i="8" s="1"/>
  <c r="X173" i="8"/>
  <c r="AK173" i="8" s="1"/>
  <c r="S173" i="8"/>
  <c r="AC173" i="8" s="1"/>
  <c r="AA173" i="8"/>
  <c r="T173" i="8"/>
  <c r="AE173" i="8" s="1"/>
  <c r="Z173" i="8"/>
  <c r="AM173" i="8" s="1"/>
  <c r="AU173" i="8" s="1"/>
  <c r="Q174" i="8"/>
  <c r="V173" i="8"/>
  <c r="AH173" i="8" s="1"/>
  <c r="W173" i="8"/>
  <c r="AI173" i="8" s="1"/>
  <c r="Y173" i="8"/>
  <c r="AL173" i="8" s="1"/>
  <c r="U173" i="8"/>
  <c r="AF173" i="8" s="1"/>
  <c r="BU172" i="8"/>
  <c r="AS172" i="8"/>
  <c r="BR172" i="8"/>
  <c r="BS172" i="8"/>
  <c r="AQ172" i="8"/>
  <c r="AT172" i="8"/>
  <c r="BV172" i="8"/>
  <c r="BT172" i="8"/>
  <c r="AR172" i="8"/>
  <c r="AO172" i="8" l="1"/>
  <c r="BH171" i="8"/>
  <c r="BJ171" i="8" s="1"/>
  <c r="AX173" i="8"/>
  <c r="DQ173" i="8"/>
  <c r="DI172" i="8"/>
  <c r="DL172" i="8" s="1"/>
  <c r="DO172" i="8" s="1"/>
  <c r="DR172" i="8" s="1"/>
  <c r="DU172" i="8" s="1"/>
  <c r="U174" i="8"/>
  <c r="AF174" i="8" s="1"/>
  <c r="T174" i="8"/>
  <c r="AE174" i="8" s="1"/>
  <c r="V174" i="8"/>
  <c r="AH174" i="8" s="1"/>
  <c r="R174" i="8"/>
  <c r="AB174" i="8" s="1"/>
  <c r="AA174" i="8"/>
  <c r="X174" i="8"/>
  <c r="AK174" i="8" s="1"/>
  <c r="Q175" i="8"/>
  <c r="Z174" i="8"/>
  <c r="AM174" i="8" s="1"/>
  <c r="AU174" i="8" s="1"/>
  <c r="Y174" i="8"/>
  <c r="AL174" i="8" s="1"/>
  <c r="W174" i="8"/>
  <c r="AI174" i="8" s="1"/>
  <c r="S174" i="8"/>
  <c r="AC174" i="8" s="1"/>
  <c r="AD173" i="8"/>
  <c r="AG173" i="8" s="1"/>
  <c r="AJ173" i="8" s="1"/>
  <c r="AN173" i="8"/>
  <c r="BQ173" i="8" s="1"/>
  <c r="CI173" i="8" s="1"/>
  <c r="DN173" i="8"/>
  <c r="AW173" i="8"/>
  <c r="AV173" i="8"/>
  <c r="DK173" i="8"/>
  <c r="AP173" i="8"/>
  <c r="DW172" i="8"/>
  <c r="DT173" i="8"/>
  <c r="AY173" i="8"/>
  <c r="BR173" i="8"/>
  <c r="BS173" i="8"/>
  <c r="AQ173" i="8"/>
  <c r="AR173" i="8"/>
  <c r="BT173" i="8"/>
  <c r="BU173" i="8"/>
  <c r="AS173" i="8"/>
  <c r="BV173" i="8"/>
  <c r="AT173" i="8"/>
  <c r="BI173" i="8" l="1"/>
  <c r="BH172" i="8"/>
  <c r="BJ172" i="8" s="1"/>
  <c r="AO173" i="8"/>
  <c r="DQ174" i="8"/>
  <c r="AX174" i="8"/>
  <c r="AW174" i="8"/>
  <c r="DN174" i="8"/>
  <c r="DT174" i="8"/>
  <c r="AY174" i="8"/>
  <c r="DI173" i="8"/>
  <c r="DL173" i="8" s="1"/>
  <c r="DO173" i="8" s="1"/>
  <c r="DR173" i="8" s="1"/>
  <c r="DU173" i="8" s="1"/>
  <c r="W175" i="8"/>
  <c r="AI175" i="8" s="1"/>
  <c r="U175" i="8"/>
  <c r="AF175" i="8" s="1"/>
  <c r="R175" i="8"/>
  <c r="AB175" i="8" s="1"/>
  <c r="Q176" i="8"/>
  <c r="T175" i="8"/>
  <c r="AE175" i="8" s="1"/>
  <c r="V175" i="8"/>
  <c r="AH175" i="8" s="1"/>
  <c r="S175" i="8"/>
  <c r="AC175" i="8" s="1"/>
  <c r="AA175" i="8"/>
  <c r="Y175" i="8"/>
  <c r="AL175" i="8" s="1"/>
  <c r="X175" i="8"/>
  <c r="AK175" i="8" s="1"/>
  <c r="Z175" i="8"/>
  <c r="AM175" i="8" s="1"/>
  <c r="AU175" i="8" s="1"/>
  <c r="AN174" i="8"/>
  <c r="BQ174" i="8" s="1"/>
  <c r="CI174" i="8" s="1"/>
  <c r="AD174" i="8"/>
  <c r="AG174" i="8" s="1"/>
  <c r="AJ174" i="8" s="1"/>
  <c r="DW173" i="8"/>
  <c r="AV174" i="8"/>
  <c r="DK174" i="8"/>
  <c r="AP174" i="8"/>
  <c r="BI174" i="8" s="1"/>
  <c r="AR174" i="8"/>
  <c r="BT174" i="8"/>
  <c r="AT174" i="8"/>
  <c r="BV174" i="8"/>
  <c r="BR174" i="8"/>
  <c r="BS174" i="8"/>
  <c r="AQ174" i="8"/>
  <c r="AS174" i="8"/>
  <c r="BU174" i="8"/>
  <c r="DW174" i="8" l="1"/>
  <c r="BH173" i="8"/>
  <c r="BJ173" i="8" s="1"/>
  <c r="AO174" i="8"/>
  <c r="DI174" i="8"/>
  <c r="DL174" i="8" s="1"/>
  <c r="DO174" i="8" s="1"/>
  <c r="DR174" i="8" s="1"/>
  <c r="DU174" i="8" s="1"/>
  <c r="S176" i="8"/>
  <c r="AC176" i="8" s="1"/>
  <c r="R176" i="8"/>
  <c r="AB176" i="8" s="1"/>
  <c r="AA176" i="8"/>
  <c r="V176" i="8"/>
  <c r="AH176" i="8" s="1"/>
  <c r="Q177" i="8"/>
  <c r="T176" i="8"/>
  <c r="AE176" i="8" s="1"/>
  <c r="Z176" i="8"/>
  <c r="AM176" i="8" s="1"/>
  <c r="AU176" i="8" s="1"/>
  <c r="X176" i="8"/>
  <c r="AK176" i="8" s="1"/>
  <c r="W176" i="8"/>
  <c r="AI176" i="8" s="1"/>
  <c r="Y176" i="8"/>
  <c r="AL176" i="8" s="1"/>
  <c r="U176" i="8"/>
  <c r="AF176" i="8" s="1"/>
  <c r="AW175" i="8"/>
  <c r="DN175" i="8"/>
  <c r="AY175" i="8"/>
  <c r="DT175" i="8"/>
  <c r="AX175" i="8"/>
  <c r="DQ175" i="8"/>
  <c r="AN175" i="8"/>
  <c r="BQ175" i="8" s="1"/>
  <c r="CI175" i="8" s="1"/>
  <c r="AD175" i="8"/>
  <c r="AG175" i="8" s="1"/>
  <c r="AJ175" i="8" s="1"/>
  <c r="DK175" i="8"/>
  <c r="AP175" i="8"/>
  <c r="AV175" i="8"/>
  <c r="BV175" i="8"/>
  <c r="AT175" i="8"/>
  <c r="AS175" i="8"/>
  <c r="BU175" i="8"/>
  <c r="BT175" i="8"/>
  <c r="AR175" i="8"/>
  <c r="BS175" i="8"/>
  <c r="AQ175" i="8"/>
  <c r="BR175" i="8"/>
  <c r="AO175" i="8" l="1"/>
  <c r="BI175" i="8"/>
  <c r="BH174" i="8"/>
  <c r="BJ174" i="8" s="1"/>
  <c r="U177" i="8"/>
  <c r="AF177" i="8" s="1"/>
  <c r="S177" i="8"/>
  <c r="AC177" i="8" s="1"/>
  <c r="Q178" i="8"/>
  <c r="W177" i="8"/>
  <c r="AI177" i="8" s="1"/>
  <c r="R177" i="8"/>
  <c r="AB177" i="8" s="1"/>
  <c r="AA177" i="8"/>
  <c r="T177" i="8"/>
  <c r="AE177" i="8" s="1"/>
  <c r="Y177" i="8"/>
  <c r="AL177" i="8" s="1"/>
  <c r="V177" i="8"/>
  <c r="AH177" i="8" s="1"/>
  <c r="Z177" i="8"/>
  <c r="AM177" i="8" s="1"/>
  <c r="AU177" i="8" s="1"/>
  <c r="X177" i="8"/>
  <c r="AK177" i="8" s="1"/>
  <c r="AW176" i="8"/>
  <c r="DN176" i="8"/>
  <c r="AN176" i="8"/>
  <c r="BQ176" i="8" s="1"/>
  <c r="CI176" i="8" s="1"/>
  <c r="AD176" i="8"/>
  <c r="AG176" i="8" s="1"/>
  <c r="AJ176" i="8" s="1"/>
  <c r="DT176" i="8"/>
  <c r="AY176" i="8"/>
  <c r="DQ176" i="8"/>
  <c r="AX176" i="8"/>
  <c r="AP176" i="8"/>
  <c r="DK176" i="8"/>
  <c r="AV176" i="8"/>
  <c r="DI175" i="8"/>
  <c r="DL175" i="8" s="1"/>
  <c r="DO175" i="8" s="1"/>
  <c r="DR175" i="8" s="1"/>
  <c r="DU175" i="8" s="1"/>
  <c r="DW175" i="8"/>
  <c r="BR176" i="8"/>
  <c r="AQ176" i="8"/>
  <c r="BS176" i="8"/>
  <c r="BV176" i="8"/>
  <c r="AT176" i="8"/>
  <c r="BU176" i="8"/>
  <c r="AS176" i="8"/>
  <c r="BT176" i="8"/>
  <c r="AR176" i="8"/>
  <c r="BI176" i="8" l="1"/>
  <c r="BH175" i="8"/>
  <c r="BJ175" i="8" s="1"/>
  <c r="AO176" i="8"/>
  <c r="DI176" i="8"/>
  <c r="DL176" i="8" s="1"/>
  <c r="DO176" i="8" s="1"/>
  <c r="DR176" i="8" s="1"/>
  <c r="DU176" i="8" s="1"/>
  <c r="AD177" i="8"/>
  <c r="AG177" i="8" s="1"/>
  <c r="AJ177" i="8" s="1"/>
  <c r="AN177" i="8"/>
  <c r="BQ177" i="8" s="1"/>
  <c r="CI177" i="8" s="1"/>
  <c r="DW176" i="8"/>
  <c r="AX177" i="8"/>
  <c r="DQ177" i="8"/>
  <c r="Y178" i="8"/>
  <c r="AL178" i="8" s="1"/>
  <c r="U178" i="8"/>
  <c r="AF178" i="8" s="1"/>
  <c r="S178" i="8"/>
  <c r="AC178" i="8" s="1"/>
  <c r="W178" i="8"/>
  <c r="AI178" i="8" s="1"/>
  <c r="X178" i="8"/>
  <c r="AK178" i="8" s="1"/>
  <c r="Q179" i="8"/>
  <c r="T178" i="8"/>
  <c r="AE178" i="8" s="1"/>
  <c r="AA178" i="8"/>
  <c r="V178" i="8"/>
  <c r="AH178" i="8" s="1"/>
  <c r="Z178" i="8"/>
  <c r="AM178" i="8" s="1"/>
  <c r="AU178" i="8" s="1"/>
  <c r="R178" i="8"/>
  <c r="AB178" i="8" s="1"/>
  <c r="AP177" i="8"/>
  <c r="BI177" i="8" s="1"/>
  <c r="DK177" i="8"/>
  <c r="AV177" i="8"/>
  <c r="DN177" i="8"/>
  <c r="AW177" i="8"/>
  <c r="AY177" i="8"/>
  <c r="DT177" i="8"/>
  <c r="AR177" i="8"/>
  <c r="BT177" i="8"/>
  <c r="BU177" i="8"/>
  <c r="AS177" i="8"/>
  <c r="AQ177" i="8"/>
  <c r="BS177" i="8"/>
  <c r="BR177" i="8"/>
  <c r="AT177" i="8"/>
  <c r="BV177" i="8"/>
  <c r="BH176" i="8" l="1"/>
  <c r="BJ176" i="8" s="1"/>
  <c r="DW177" i="8"/>
  <c r="AO177" i="8"/>
  <c r="R179" i="8"/>
  <c r="AB179" i="8" s="1"/>
  <c r="Y179" i="8"/>
  <c r="AL179" i="8" s="1"/>
  <c r="Z179" i="8"/>
  <c r="AM179" i="8" s="1"/>
  <c r="AU179" i="8" s="1"/>
  <c r="V179" i="8"/>
  <c r="AH179" i="8" s="1"/>
  <c r="U179" i="8"/>
  <c r="AF179" i="8" s="1"/>
  <c r="W179" i="8"/>
  <c r="AI179" i="8" s="1"/>
  <c r="S179" i="8"/>
  <c r="AC179" i="8" s="1"/>
  <c r="Q180" i="8"/>
  <c r="X179" i="8"/>
  <c r="AK179" i="8" s="1"/>
  <c r="T179" i="8"/>
  <c r="AE179" i="8" s="1"/>
  <c r="AA179" i="8"/>
  <c r="AX178" i="8"/>
  <c r="DQ178" i="8"/>
  <c r="AP178" i="8"/>
  <c r="BI178" i="8" s="1"/>
  <c r="DK178" i="8"/>
  <c r="AV178" i="8"/>
  <c r="DI177" i="8"/>
  <c r="DL177" i="8" s="1"/>
  <c r="DO177" i="8" s="1"/>
  <c r="DR177" i="8" s="1"/>
  <c r="DU177" i="8" s="1"/>
  <c r="DN178" i="8"/>
  <c r="AW178" i="8"/>
  <c r="DT178" i="8"/>
  <c r="AY178" i="8"/>
  <c r="AN178" i="8"/>
  <c r="BQ178" i="8" s="1"/>
  <c r="CI178" i="8" s="1"/>
  <c r="AD178" i="8"/>
  <c r="AG178" i="8" s="1"/>
  <c r="AJ178" i="8" s="1"/>
  <c r="BV178" i="8"/>
  <c r="AT178" i="8"/>
  <c r="AS178" i="8"/>
  <c r="BU178" i="8"/>
  <c r="BS178" i="8"/>
  <c r="BR178" i="8"/>
  <c r="AQ178" i="8"/>
  <c r="BT178" i="8"/>
  <c r="AR178" i="8"/>
  <c r="BH177" i="8" l="1"/>
  <c r="BJ177" i="8" s="1"/>
  <c r="DW178" i="8"/>
  <c r="DK179" i="8"/>
  <c r="AP179" i="8"/>
  <c r="AV179" i="8"/>
  <c r="DQ179" i="8"/>
  <c r="AX179" i="8"/>
  <c r="AW179" i="8"/>
  <c r="DN179" i="8"/>
  <c r="AN179" i="8"/>
  <c r="BQ179" i="8" s="1"/>
  <c r="CI179" i="8" s="1"/>
  <c r="AD179" i="8"/>
  <c r="AG179" i="8" s="1"/>
  <c r="AJ179" i="8" s="1"/>
  <c r="AY179" i="8"/>
  <c r="DT179" i="8"/>
  <c r="AO178" i="8"/>
  <c r="DI178" i="8"/>
  <c r="DL178" i="8" s="1"/>
  <c r="DO178" i="8" s="1"/>
  <c r="DR178" i="8" s="1"/>
  <c r="DU178" i="8" s="1"/>
  <c r="U180" i="8"/>
  <c r="AF180" i="8" s="1"/>
  <c r="Y180" i="8"/>
  <c r="AL180" i="8" s="1"/>
  <c r="W180" i="8"/>
  <c r="AI180" i="8" s="1"/>
  <c r="T180" i="8"/>
  <c r="AE180" i="8" s="1"/>
  <c r="AA180" i="8"/>
  <c r="Q181" i="8"/>
  <c r="R180" i="8"/>
  <c r="AB180" i="8" s="1"/>
  <c r="Z180" i="8"/>
  <c r="AM180" i="8" s="1"/>
  <c r="AU180" i="8" s="1"/>
  <c r="V180" i="8"/>
  <c r="AH180" i="8" s="1"/>
  <c r="S180" i="8"/>
  <c r="AC180" i="8" s="1"/>
  <c r="X180" i="8"/>
  <c r="AK180" i="8" s="1"/>
  <c r="AS179" i="8"/>
  <c r="BU179" i="8"/>
  <c r="AR179" i="8"/>
  <c r="BT179" i="8"/>
  <c r="AQ179" i="8"/>
  <c r="BR179" i="8"/>
  <c r="BS179" i="8"/>
  <c r="BV179" i="8"/>
  <c r="AT179" i="8"/>
  <c r="BI179" i="8" l="1"/>
  <c r="BH178" i="8"/>
  <c r="BJ178" i="8" s="1"/>
  <c r="DW179" i="8"/>
  <c r="AO179" i="8"/>
  <c r="AN180" i="8"/>
  <c r="BQ180" i="8" s="1"/>
  <c r="CI180" i="8" s="1"/>
  <c r="AD180" i="8"/>
  <c r="AG180" i="8" s="1"/>
  <c r="AJ180" i="8" s="1"/>
  <c r="AX180" i="8"/>
  <c r="DQ180" i="8"/>
  <c r="AV180" i="8"/>
  <c r="DK180" i="8"/>
  <c r="AP180" i="8"/>
  <c r="DT180" i="8"/>
  <c r="AY180" i="8"/>
  <c r="AW180" i="8"/>
  <c r="DN180" i="8"/>
  <c r="DI179" i="8"/>
  <c r="DL179" i="8" s="1"/>
  <c r="DO179" i="8" s="1"/>
  <c r="DR179" i="8" s="1"/>
  <c r="DU179" i="8" s="1"/>
  <c r="Q182" i="8"/>
  <c r="X181" i="8"/>
  <c r="AK181" i="8" s="1"/>
  <c r="Z181" i="8"/>
  <c r="AM181" i="8" s="1"/>
  <c r="AU181" i="8" s="1"/>
  <c r="W181" i="8"/>
  <c r="AI181" i="8" s="1"/>
  <c r="V181" i="8"/>
  <c r="AH181" i="8" s="1"/>
  <c r="U181" i="8"/>
  <c r="AF181" i="8" s="1"/>
  <c r="Y181" i="8"/>
  <c r="AL181" i="8" s="1"/>
  <c r="S181" i="8"/>
  <c r="AC181" i="8" s="1"/>
  <c r="R181" i="8"/>
  <c r="AB181" i="8" s="1"/>
  <c r="AA181" i="8"/>
  <c r="T181" i="8"/>
  <c r="AE181" i="8" s="1"/>
  <c r="AT180" i="8"/>
  <c r="BV180" i="8"/>
  <c r="AS180" i="8"/>
  <c r="BU180" i="8"/>
  <c r="AR180" i="8"/>
  <c r="BT180" i="8"/>
  <c r="AQ180" i="8"/>
  <c r="BR180" i="8"/>
  <c r="BS180" i="8"/>
  <c r="AO180" i="8" l="1"/>
  <c r="BI180" i="8"/>
  <c r="BH179" i="8"/>
  <c r="BJ179" i="8" s="1"/>
  <c r="W182" i="8"/>
  <c r="AI182" i="8" s="1"/>
  <c r="S182" i="8"/>
  <c r="AC182" i="8" s="1"/>
  <c r="U182" i="8"/>
  <c r="AF182" i="8" s="1"/>
  <c r="V182" i="8"/>
  <c r="AH182" i="8" s="1"/>
  <c r="X182" i="8"/>
  <c r="AK182" i="8" s="1"/>
  <c r="Q183" i="8"/>
  <c r="T182" i="8"/>
  <c r="AE182" i="8" s="1"/>
  <c r="Y182" i="8"/>
  <c r="AL182" i="8" s="1"/>
  <c r="Z182" i="8"/>
  <c r="AM182" i="8" s="1"/>
  <c r="AU182" i="8" s="1"/>
  <c r="AA182" i="8"/>
  <c r="R182" i="8"/>
  <c r="AB182" i="8" s="1"/>
  <c r="DW180" i="8"/>
  <c r="AP181" i="8"/>
  <c r="AV181" i="8"/>
  <c r="DK181" i="8"/>
  <c r="AY181" i="8"/>
  <c r="DT181" i="8"/>
  <c r="DN181" i="8"/>
  <c r="AW181" i="8"/>
  <c r="AX181" i="8"/>
  <c r="DQ181" i="8"/>
  <c r="DI180" i="8"/>
  <c r="DL180" i="8" s="1"/>
  <c r="DO180" i="8" s="1"/>
  <c r="DR180" i="8" s="1"/>
  <c r="DU180" i="8" s="1"/>
  <c r="AN181" i="8"/>
  <c r="BQ181" i="8" s="1"/>
  <c r="CI181" i="8" s="1"/>
  <c r="AD181" i="8"/>
  <c r="AG181" i="8" s="1"/>
  <c r="AJ181" i="8" s="1"/>
  <c r="AQ181" i="8"/>
  <c r="BS181" i="8"/>
  <c r="BR181" i="8"/>
  <c r="BU181" i="8"/>
  <c r="AS181" i="8"/>
  <c r="BT181" i="8"/>
  <c r="AR181" i="8"/>
  <c r="AT181" i="8"/>
  <c r="BV181" i="8"/>
  <c r="AO181" i="8" l="1"/>
  <c r="BI181" i="8"/>
  <c r="BH180" i="8"/>
  <c r="BJ180" i="8" s="1"/>
  <c r="DW181" i="8"/>
  <c r="S183" i="8"/>
  <c r="AC183" i="8" s="1"/>
  <c r="X183" i="8"/>
  <c r="AK183" i="8" s="1"/>
  <c r="T183" i="8"/>
  <c r="AE183" i="8" s="1"/>
  <c r="W183" i="8"/>
  <c r="AI183" i="8" s="1"/>
  <c r="U183" i="8"/>
  <c r="AF183" i="8" s="1"/>
  <c r="AA183" i="8"/>
  <c r="Q184" i="8"/>
  <c r="V183" i="8"/>
  <c r="AH183" i="8" s="1"/>
  <c r="Y183" i="8"/>
  <c r="AL183" i="8" s="1"/>
  <c r="R183" i="8"/>
  <c r="AB183" i="8" s="1"/>
  <c r="Z183" i="8"/>
  <c r="AM183" i="8" s="1"/>
  <c r="AU183" i="8" s="1"/>
  <c r="AW182" i="8"/>
  <c r="DN182" i="8"/>
  <c r="AN182" i="8"/>
  <c r="BQ182" i="8" s="1"/>
  <c r="CI182" i="8" s="1"/>
  <c r="AD182" i="8"/>
  <c r="AG182" i="8" s="1"/>
  <c r="AJ182" i="8" s="1"/>
  <c r="DK182" i="8"/>
  <c r="AP182" i="8"/>
  <c r="AV182" i="8"/>
  <c r="DI181" i="8"/>
  <c r="DL181" i="8" s="1"/>
  <c r="DO181" i="8" s="1"/>
  <c r="DR181" i="8" s="1"/>
  <c r="DU181" i="8" s="1"/>
  <c r="AX182" i="8"/>
  <c r="DQ182" i="8"/>
  <c r="AY182" i="8"/>
  <c r="DT182" i="8"/>
  <c r="BV182" i="8"/>
  <c r="AT182" i="8"/>
  <c r="BU182" i="8"/>
  <c r="AS182" i="8"/>
  <c r="BT182" i="8"/>
  <c r="AR182" i="8"/>
  <c r="AQ182" i="8"/>
  <c r="BS182" i="8"/>
  <c r="BR182" i="8"/>
  <c r="BI182" i="8" l="1"/>
  <c r="BH181" i="8"/>
  <c r="BJ181" i="8" s="1"/>
  <c r="AO182" i="8"/>
  <c r="AX183" i="8"/>
  <c r="DQ183" i="8"/>
  <c r="AV183" i="8"/>
  <c r="AP183" i="8"/>
  <c r="DK183" i="8"/>
  <c r="DT183" i="8"/>
  <c r="AY183" i="8"/>
  <c r="AA184" i="8"/>
  <c r="T184" i="8"/>
  <c r="AE184" i="8" s="1"/>
  <c r="Q185" i="8"/>
  <c r="R184" i="8"/>
  <c r="AB184" i="8" s="1"/>
  <c r="Y184" i="8"/>
  <c r="AL184" i="8" s="1"/>
  <c r="V184" i="8"/>
  <c r="AH184" i="8" s="1"/>
  <c r="Z184" i="8"/>
  <c r="AM184" i="8" s="1"/>
  <c r="AU184" i="8" s="1"/>
  <c r="W184" i="8"/>
  <c r="AI184" i="8" s="1"/>
  <c r="S184" i="8"/>
  <c r="AC184" i="8" s="1"/>
  <c r="U184" i="8"/>
  <c r="AF184" i="8" s="1"/>
  <c r="X184" i="8"/>
  <c r="AK184" i="8" s="1"/>
  <c r="DW182" i="8"/>
  <c r="DI182" i="8"/>
  <c r="DL182" i="8" s="1"/>
  <c r="DO182" i="8" s="1"/>
  <c r="DR182" i="8" s="1"/>
  <c r="DU182" i="8" s="1"/>
  <c r="AN183" i="8"/>
  <c r="BQ183" i="8" s="1"/>
  <c r="CI183" i="8" s="1"/>
  <c r="AD183" i="8"/>
  <c r="AG183" i="8" s="1"/>
  <c r="AJ183" i="8" s="1"/>
  <c r="AW183" i="8"/>
  <c r="DN183" i="8"/>
  <c r="AT183" i="8"/>
  <c r="BV183" i="8"/>
  <c r="BS183" i="8"/>
  <c r="AQ183" i="8"/>
  <c r="BR183" i="8"/>
  <c r="BU183" i="8"/>
  <c r="AS183" i="8"/>
  <c r="AR183" i="8"/>
  <c r="BT183" i="8"/>
  <c r="BI183" i="8" l="1"/>
  <c r="BH182" i="8"/>
  <c r="BJ182" i="8" s="1"/>
  <c r="AO183" i="8"/>
  <c r="AY184" i="8"/>
  <c r="DT184" i="8"/>
  <c r="DW183" i="8"/>
  <c r="V185" i="8"/>
  <c r="AH185" i="8" s="1"/>
  <c r="Z185" i="8"/>
  <c r="AM185" i="8" s="1"/>
  <c r="AU185" i="8" s="1"/>
  <c r="AA185" i="8"/>
  <c r="R185" i="8"/>
  <c r="AB185" i="8" s="1"/>
  <c r="Q186" i="8"/>
  <c r="T185" i="8"/>
  <c r="AE185" i="8" s="1"/>
  <c r="X185" i="8"/>
  <c r="AK185" i="8" s="1"/>
  <c r="Y185" i="8"/>
  <c r="AL185" i="8" s="1"/>
  <c r="W185" i="8"/>
  <c r="AI185" i="8" s="1"/>
  <c r="S185" i="8"/>
  <c r="AC185" i="8" s="1"/>
  <c r="U185" i="8"/>
  <c r="AF185" i="8" s="1"/>
  <c r="DN184" i="8"/>
  <c r="AW184" i="8"/>
  <c r="DI183" i="8"/>
  <c r="DL183" i="8" s="1"/>
  <c r="DO183" i="8" s="1"/>
  <c r="DR183" i="8" s="1"/>
  <c r="DU183" i="8" s="1"/>
  <c r="DK184" i="8"/>
  <c r="AP184" i="8"/>
  <c r="AV184" i="8"/>
  <c r="AN184" i="8"/>
  <c r="BQ184" i="8" s="1"/>
  <c r="CI184" i="8" s="1"/>
  <c r="AD184" i="8"/>
  <c r="AG184" i="8" s="1"/>
  <c r="AJ184" i="8" s="1"/>
  <c r="DQ184" i="8"/>
  <c r="AX184" i="8"/>
  <c r="AS184" i="8"/>
  <c r="BU184" i="8"/>
  <c r="AQ184" i="8"/>
  <c r="BS184" i="8"/>
  <c r="BR184" i="8"/>
  <c r="AR184" i="8"/>
  <c r="BT184" i="8"/>
  <c r="BV184" i="8"/>
  <c r="AT184" i="8"/>
  <c r="BI184" i="8" l="1"/>
  <c r="BH183" i="8"/>
  <c r="BJ183" i="8" s="1"/>
  <c r="AO184" i="8"/>
  <c r="DQ185" i="8"/>
  <c r="AX185" i="8"/>
  <c r="DT185" i="8"/>
  <c r="AY185" i="8"/>
  <c r="U186" i="8"/>
  <c r="AF186" i="8" s="1"/>
  <c r="X186" i="8"/>
  <c r="AK186" i="8" s="1"/>
  <c r="AA186" i="8"/>
  <c r="V186" i="8"/>
  <c r="AH186" i="8" s="1"/>
  <c r="T186" i="8"/>
  <c r="AE186" i="8" s="1"/>
  <c r="Z186" i="8"/>
  <c r="AM186" i="8" s="1"/>
  <c r="AU186" i="8" s="1"/>
  <c r="Q187" i="8"/>
  <c r="R186" i="8"/>
  <c r="AB186" i="8" s="1"/>
  <c r="W186" i="8"/>
  <c r="AI186" i="8" s="1"/>
  <c r="Y186" i="8"/>
  <c r="AL186" i="8" s="1"/>
  <c r="S186" i="8"/>
  <c r="AC186" i="8" s="1"/>
  <c r="DW184" i="8"/>
  <c r="DI184" i="8"/>
  <c r="DL184" i="8" s="1"/>
  <c r="DO184" i="8" s="1"/>
  <c r="DR184" i="8" s="1"/>
  <c r="DU184" i="8" s="1"/>
  <c r="AW185" i="8"/>
  <c r="DN185" i="8"/>
  <c r="AN185" i="8"/>
  <c r="BQ185" i="8" s="1"/>
  <c r="CI185" i="8" s="1"/>
  <c r="AD185" i="8"/>
  <c r="AG185" i="8" s="1"/>
  <c r="AJ185" i="8" s="1"/>
  <c r="DK185" i="8"/>
  <c r="AV185" i="8"/>
  <c r="AP185" i="8"/>
  <c r="BV185" i="8"/>
  <c r="AT185" i="8"/>
  <c r="BT185" i="8"/>
  <c r="AR185" i="8"/>
  <c r="BU185" i="8"/>
  <c r="AS185" i="8"/>
  <c r="AQ185" i="8"/>
  <c r="BR185" i="8"/>
  <c r="BS185" i="8"/>
  <c r="BI185" i="8" l="1"/>
  <c r="BH184" i="8"/>
  <c r="BJ184" i="8" s="1"/>
  <c r="AO185" i="8"/>
  <c r="DI185" i="8"/>
  <c r="DL185" i="8" s="1"/>
  <c r="DO185" i="8" s="1"/>
  <c r="DR185" i="8" s="1"/>
  <c r="DU185" i="8" s="1"/>
  <c r="AV186" i="8"/>
  <c r="AP186" i="8"/>
  <c r="DK186" i="8"/>
  <c r="AD186" i="8"/>
  <c r="AG186" i="8" s="1"/>
  <c r="AJ186" i="8" s="1"/>
  <c r="AN186" i="8"/>
  <c r="BQ186" i="8" s="1"/>
  <c r="CI186" i="8" s="1"/>
  <c r="DT186" i="8"/>
  <c r="AY186" i="8"/>
  <c r="AX186" i="8"/>
  <c r="DQ186" i="8"/>
  <c r="AW186" i="8"/>
  <c r="DN186" i="8"/>
  <c r="DW185" i="8"/>
  <c r="Z187" i="8"/>
  <c r="AM187" i="8" s="1"/>
  <c r="AU187" i="8" s="1"/>
  <c r="W187" i="8"/>
  <c r="AI187" i="8" s="1"/>
  <c r="T187" i="8"/>
  <c r="AE187" i="8" s="1"/>
  <c r="R187" i="8"/>
  <c r="AB187" i="8" s="1"/>
  <c r="U187" i="8"/>
  <c r="AF187" i="8" s="1"/>
  <c r="S187" i="8"/>
  <c r="AC187" i="8" s="1"/>
  <c r="X187" i="8"/>
  <c r="AK187" i="8" s="1"/>
  <c r="Y187" i="8"/>
  <c r="AL187" i="8" s="1"/>
  <c r="Q188" i="8"/>
  <c r="AA187" i="8"/>
  <c r="V187" i="8"/>
  <c r="AH187" i="8" s="1"/>
  <c r="BT186" i="8"/>
  <c r="AR186" i="8"/>
  <c r="BS186" i="8"/>
  <c r="AQ186" i="8"/>
  <c r="BR186" i="8"/>
  <c r="BV186" i="8"/>
  <c r="AT186" i="8"/>
  <c r="AS186" i="8"/>
  <c r="BU186" i="8"/>
  <c r="AO186" i="8" l="1"/>
  <c r="BI186" i="8"/>
  <c r="BH185" i="8"/>
  <c r="BJ185" i="8" s="1"/>
  <c r="DW186" i="8"/>
  <c r="AY187" i="8"/>
  <c r="DT187" i="8"/>
  <c r="DI186" i="8"/>
  <c r="DL186" i="8" s="1"/>
  <c r="DO186" i="8" s="1"/>
  <c r="DR186" i="8" s="1"/>
  <c r="DU186" i="8" s="1"/>
  <c r="DK187" i="8"/>
  <c r="AP187" i="8"/>
  <c r="AV187" i="8"/>
  <c r="AW187" i="8"/>
  <c r="DN187" i="8"/>
  <c r="DQ187" i="8"/>
  <c r="AX187" i="8"/>
  <c r="AN187" i="8"/>
  <c r="BQ187" i="8" s="1"/>
  <c r="CI187" i="8" s="1"/>
  <c r="AD187" i="8"/>
  <c r="AG187" i="8" s="1"/>
  <c r="AJ187" i="8" s="1"/>
  <c r="AA188" i="8"/>
  <c r="X188" i="8"/>
  <c r="AK188" i="8" s="1"/>
  <c r="U188" i="8"/>
  <c r="AF188" i="8" s="1"/>
  <c r="T188" i="8"/>
  <c r="AE188" i="8" s="1"/>
  <c r="Z188" i="8"/>
  <c r="AM188" i="8" s="1"/>
  <c r="AU188" i="8" s="1"/>
  <c r="W188" i="8"/>
  <c r="AI188" i="8" s="1"/>
  <c r="Y188" i="8"/>
  <c r="AL188" i="8" s="1"/>
  <c r="Q189" i="8"/>
  <c r="V188" i="8"/>
  <c r="AH188" i="8" s="1"/>
  <c r="BU187" i="8"/>
  <c r="AS187" i="8"/>
  <c r="BS187" i="8"/>
  <c r="BR187" i="8"/>
  <c r="AQ187" i="8"/>
  <c r="BV187" i="8"/>
  <c r="AT187" i="8"/>
  <c r="AR187" i="8"/>
  <c r="BT187" i="8"/>
  <c r="BI187" i="8" l="1"/>
  <c r="AO187" i="8"/>
  <c r="BH186" i="8"/>
  <c r="BJ186" i="8" s="1"/>
  <c r="DN188" i="8"/>
  <c r="AW188" i="8"/>
  <c r="X189" i="8"/>
  <c r="AK189" i="8" s="1"/>
  <c r="Q190" i="8"/>
  <c r="R189" i="8"/>
  <c r="AA189" i="8"/>
  <c r="T189" i="8"/>
  <c r="AE189" i="8" s="1"/>
  <c r="Z189" i="8"/>
  <c r="AM189" i="8" s="1"/>
  <c r="AU189" i="8" s="1"/>
  <c r="V189" i="8"/>
  <c r="AH189" i="8" s="1"/>
  <c r="Y189" i="8"/>
  <c r="AL189" i="8" s="1"/>
  <c r="S189" i="8"/>
  <c r="U189" i="8"/>
  <c r="AF189" i="8" s="1"/>
  <c r="W189" i="8"/>
  <c r="AI189" i="8" s="1"/>
  <c r="AD188" i="8"/>
  <c r="AG188" i="8" s="1"/>
  <c r="AJ188" i="8" s="1"/>
  <c r="AN188" i="8"/>
  <c r="BQ188" i="8" s="1"/>
  <c r="CI188" i="8" s="1"/>
  <c r="DW187" i="8"/>
  <c r="AY188" i="8"/>
  <c r="DT188" i="8"/>
  <c r="DQ188" i="8"/>
  <c r="AX188" i="8"/>
  <c r="DI187" i="8"/>
  <c r="DL187" i="8" s="1"/>
  <c r="DO187" i="8" s="1"/>
  <c r="DR187" i="8" s="1"/>
  <c r="DU187" i="8" s="1"/>
  <c r="BT188" i="8"/>
  <c r="AR188" i="8"/>
  <c r="AT188" i="8"/>
  <c r="BV188" i="8"/>
  <c r="AS188" i="8"/>
  <c r="BU188" i="8"/>
  <c r="BH187" i="8" l="1"/>
  <c r="AN189" i="8"/>
  <c r="BQ189" i="8" s="1"/>
  <c r="CI189" i="8" s="1"/>
  <c r="AD189" i="8"/>
  <c r="AG189" i="8" s="1"/>
  <c r="AJ189" i="8" s="1"/>
  <c r="DQ189" i="8"/>
  <c r="AX189" i="8"/>
  <c r="AW189" i="8"/>
  <c r="DN189" i="8"/>
  <c r="Z190" i="8"/>
  <c r="AM190" i="8" s="1"/>
  <c r="AU190" i="8" s="1"/>
  <c r="V190" i="8"/>
  <c r="AH190" i="8" s="1"/>
  <c r="W190" i="8"/>
  <c r="AI190" i="8" s="1"/>
  <c r="U190" i="8"/>
  <c r="AF190" i="8" s="1"/>
  <c r="T190" i="8"/>
  <c r="AE190" i="8" s="1"/>
  <c r="S190" i="8"/>
  <c r="R190" i="8"/>
  <c r="Q191" i="8"/>
  <c r="X190" i="8"/>
  <c r="AK190" i="8" s="1"/>
  <c r="AA190" i="8"/>
  <c r="Y190" i="8"/>
  <c r="AL190" i="8" s="1"/>
  <c r="DI188" i="8"/>
  <c r="DL188" i="8" s="1"/>
  <c r="DO188" i="8" s="1"/>
  <c r="DR188" i="8" s="1"/>
  <c r="DU188" i="8" s="1"/>
  <c r="DT189" i="8"/>
  <c r="AY189" i="8"/>
  <c r="BU189" i="8"/>
  <c r="AS189" i="8"/>
  <c r="AR189" i="8"/>
  <c r="BT189" i="8"/>
  <c r="BV189" i="8"/>
  <c r="AT189" i="8"/>
  <c r="DN190" i="8" l="1"/>
  <c r="AW190" i="8"/>
  <c r="DT190" i="8"/>
  <c r="AY190" i="8"/>
  <c r="DQ190" i="8"/>
  <c r="AX190" i="8"/>
  <c r="DI189" i="8"/>
  <c r="DL189" i="8" s="1"/>
  <c r="DO189" i="8" s="1"/>
  <c r="DR189" i="8" s="1"/>
  <c r="DU189" i="8" s="1"/>
  <c r="AD190" i="8"/>
  <c r="AG190" i="8" s="1"/>
  <c r="AJ190" i="8" s="1"/>
  <c r="AN190" i="8"/>
  <c r="BQ190" i="8" s="1"/>
  <c r="CI190" i="8" s="1"/>
  <c r="Q192" i="8"/>
  <c r="X191" i="8"/>
  <c r="AK191" i="8" s="1"/>
  <c r="Z191" i="8"/>
  <c r="AM191" i="8" s="1"/>
  <c r="AU191" i="8" s="1"/>
  <c r="T191" i="8"/>
  <c r="AE191" i="8" s="1"/>
  <c r="Y191" i="8"/>
  <c r="AL191" i="8" s="1"/>
  <c r="W191" i="8"/>
  <c r="AI191" i="8" s="1"/>
  <c r="S191" i="8"/>
  <c r="R191" i="8"/>
  <c r="V191" i="8"/>
  <c r="AH191" i="8" s="1"/>
  <c r="AA191" i="8"/>
  <c r="U191" i="8"/>
  <c r="AF191" i="8" s="1"/>
  <c r="AS190" i="8"/>
  <c r="BU190" i="8"/>
  <c r="BT190" i="8"/>
  <c r="AR190" i="8"/>
  <c r="AT190" i="8"/>
  <c r="BV190" i="8"/>
  <c r="AY191" i="8" l="1"/>
  <c r="DT191" i="8"/>
  <c r="DI190" i="8"/>
  <c r="DL190" i="8" s="1"/>
  <c r="DO190" i="8" s="1"/>
  <c r="DR190" i="8" s="1"/>
  <c r="DU190" i="8" s="1"/>
  <c r="AD191" i="8"/>
  <c r="AG191" i="8" s="1"/>
  <c r="AJ191" i="8" s="1"/>
  <c r="AN191" i="8"/>
  <c r="BQ191" i="8" s="1"/>
  <c r="CI191" i="8" s="1"/>
  <c r="S192" i="8"/>
  <c r="Y192" i="8"/>
  <c r="AL192" i="8" s="1"/>
  <c r="U192" i="8"/>
  <c r="AF192" i="8" s="1"/>
  <c r="R192" i="8"/>
  <c r="Q193" i="8"/>
  <c r="T192" i="8"/>
  <c r="AE192" i="8" s="1"/>
  <c r="AA192" i="8"/>
  <c r="X192" i="8"/>
  <c r="AK192" i="8" s="1"/>
  <c r="Z192" i="8"/>
  <c r="AM192" i="8" s="1"/>
  <c r="AU192" i="8" s="1"/>
  <c r="V192" i="8"/>
  <c r="AH192" i="8" s="1"/>
  <c r="W192" i="8"/>
  <c r="AI192" i="8" s="1"/>
  <c r="DN191" i="8"/>
  <c r="AW191" i="8"/>
  <c r="DQ191" i="8"/>
  <c r="AX191" i="8"/>
  <c r="BV191" i="8"/>
  <c r="AT191" i="8"/>
  <c r="AR191" i="8"/>
  <c r="BT191" i="8"/>
  <c r="BU191" i="8"/>
  <c r="AS191" i="8"/>
  <c r="DT192" i="8" l="1"/>
  <c r="AY192" i="8"/>
  <c r="DI191" i="8"/>
  <c r="DL191" i="8" s="1"/>
  <c r="DO191" i="8" s="1"/>
  <c r="DR191" i="8" s="1"/>
  <c r="DU191" i="8" s="1"/>
  <c r="AD192" i="8"/>
  <c r="AG192" i="8" s="1"/>
  <c r="AJ192" i="8" s="1"/>
  <c r="AN192" i="8"/>
  <c r="BQ192" i="8" s="1"/>
  <c r="CI192" i="8" s="1"/>
  <c r="U193" i="8"/>
  <c r="AF193" i="8" s="1"/>
  <c r="Q194" i="8"/>
  <c r="Z193" i="8"/>
  <c r="AM193" i="8" s="1"/>
  <c r="AU193" i="8" s="1"/>
  <c r="W193" i="8"/>
  <c r="AI193" i="8" s="1"/>
  <c r="V193" i="8"/>
  <c r="AH193" i="8" s="1"/>
  <c r="AA193" i="8"/>
  <c r="T193" i="8"/>
  <c r="AE193" i="8" s="1"/>
  <c r="X193" i="8"/>
  <c r="AK193" i="8" s="1"/>
  <c r="R193" i="8"/>
  <c r="S193" i="8"/>
  <c r="Y193" i="8"/>
  <c r="AL193" i="8" s="1"/>
  <c r="DQ192" i="8"/>
  <c r="AX192" i="8"/>
  <c r="AW192" i="8"/>
  <c r="DN192" i="8"/>
  <c r="BT192" i="8"/>
  <c r="AR192" i="8"/>
  <c r="BU192" i="8"/>
  <c r="AS192" i="8"/>
  <c r="BV192" i="8"/>
  <c r="AT192" i="8"/>
  <c r="V194" i="8" l="1"/>
  <c r="AH194" i="8" s="1"/>
  <c r="Q195" i="8"/>
  <c r="X194" i="8"/>
  <c r="AK194" i="8" s="1"/>
  <c r="S194" i="8"/>
  <c r="AA194" i="8"/>
  <c r="T194" i="8"/>
  <c r="AE194" i="8" s="1"/>
  <c r="W194" i="8"/>
  <c r="AI194" i="8" s="1"/>
  <c r="R194" i="8"/>
  <c r="U194" i="8"/>
  <c r="AF194" i="8" s="1"/>
  <c r="Z194" i="8"/>
  <c r="AM194" i="8" s="1"/>
  <c r="AU194" i="8" s="1"/>
  <c r="Y194" i="8"/>
  <c r="AL194" i="8" s="1"/>
  <c r="DN193" i="8"/>
  <c r="AW193" i="8"/>
  <c r="DT193" i="8"/>
  <c r="AY193" i="8"/>
  <c r="AD193" i="8"/>
  <c r="AG193" i="8" s="1"/>
  <c r="AJ193" i="8" s="1"/>
  <c r="AN193" i="8"/>
  <c r="BQ193" i="8" s="1"/>
  <c r="CI193" i="8" s="1"/>
  <c r="DI192" i="8"/>
  <c r="DL192" i="8" s="1"/>
  <c r="DO192" i="8" s="1"/>
  <c r="DR192" i="8" s="1"/>
  <c r="DU192" i="8" s="1"/>
  <c r="DQ193" i="8"/>
  <c r="AX193" i="8"/>
  <c r="AS193" i="8"/>
  <c r="BU193" i="8"/>
  <c r="BV193" i="8"/>
  <c r="AT193" i="8"/>
  <c r="AR193" i="8"/>
  <c r="BT193" i="8"/>
  <c r="AN194" i="8" l="1"/>
  <c r="BQ194" i="8" s="1"/>
  <c r="CI194" i="8" s="1"/>
  <c r="AD194" i="8"/>
  <c r="AG194" i="8" s="1"/>
  <c r="AJ194" i="8" s="1"/>
  <c r="DT194" i="8"/>
  <c r="AY194" i="8"/>
  <c r="Z195" i="8"/>
  <c r="AM195" i="8" s="1"/>
  <c r="AU195" i="8" s="1"/>
  <c r="V195" i="8"/>
  <c r="AH195" i="8" s="1"/>
  <c r="R195" i="8"/>
  <c r="Q196" i="8"/>
  <c r="AA195" i="8"/>
  <c r="Y195" i="8"/>
  <c r="AL195" i="8" s="1"/>
  <c r="S195" i="8"/>
  <c r="U195" i="8"/>
  <c r="AF195" i="8" s="1"/>
  <c r="W195" i="8"/>
  <c r="AI195" i="8" s="1"/>
  <c r="X195" i="8"/>
  <c r="AK195" i="8" s="1"/>
  <c r="T195" i="8"/>
  <c r="AE195" i="8" s="1"/>
  <c r="AW194" i="8"/>
  <c r="DN194" i="8"/>
  <c r="DI193" i="8"/>
  <c r="DL193" i="8" s="1"/>
  <c r="DO193" i="8" s="1"/>
  <c r="DR193" i="8" s="1"/>
  <c r="DU193" i="8" s="1"/>
  <c r="DQ194" i="8"/>
  <c r="AX194" i="8"/>
  <c r="AR194" i="8"/>
  <c r="BT194" i="8"/>
  <c r="BV194" i="8"/>
  <c r="AT194" i="8"/>
  <c r="BU194" i="8"/>
  <c r="AS194" i="8"/>
  <c r="AX195" i="8" l="1"/>
  <c r="DQ195" i="8"/>
  <c r="DN195" i="8"/>
  <c r="AW195" i="8"/>
  <c r="DT195" i="8"/>
  <c r="AY195" i="8"/>
  <c r="AN195" i="8"/>
  <c r="BQ195" i="8" s="1"/>
  <c r="CI195" i="8" s="1"/>
  <c r="AD195" i="8"/>
  <c r="AG195" i="8" s="1"/>
  <c r="AJ195" i="8" s="1"/>
  <c r="Y196" i="8"/>
  <c r="AL196" i="8" s="1"/>
  <c r="S196" i="8"/>
  <c r="W196" i="8"/>
  <c r="AI196" i="8" s="1"/>
  <c r="AA196" i="8"/>
  <c r="T196" i="8"/>
  <c r="AE196" i="8" s="1"/>
  <c r="Q197" i="8"/>
  <c r="V196" i="8"/>
  <c r="AH196" i="8" s="1"/>
  <c r="Z196" i="8"/>
  <c r="AM196" i="8" s="1"/>
  <c r="AU196" i="8" s="1"/>
  <c r="X196" i="8"/>
  <c r="AK196" i="8" s="1"/>
  <c r="U196" i="8"/>
  <c r="AF196" i="8" s="1"/>
  <c r="R196" i="8"/>
  <c r="DI194" i="8"/>
  <c r="DL194" i="8" s="1"/>
  <c r="DO194" i="8" s="1"/>
  <c r="DR194" i="8" s="1"/>
  <c r="DU194" i="8" s="1"/>
  <c r="AS195" i="8"/>
  <c r="BU195" i="8"/>
  <c r="BV195" i="8"/>
  <c r="AT195" i="8"/>
  <c r="BT195" i="8"/>
  <c r="AR195" i="8"/>
  <c r="AN196" i="8" l="1"/>
  <c r="BQ196" i="8" s="1"/>
  <c r="CI196" i="8" s="1"/>
  <c r="AD196" i="8"/>
  <c r="AG196" i="8" s="1"/>
  <c r="AJ196" i="8" s="1"/>
  <c r="DQ196" i="8"/>
  <c r="AX196" i="8"/>
  <c r="DN196" i="8"/>
  <c r="AW196" i="8"/>
  <c r="DT196" i="8"/>
  <c r="AY196" i="8"/>
  <c r="Q198" i="8"/>
  <c r="R197" i="8"/>
  <c r="Z197" i="8"/>
  <c r="AM197" i="8" s="1"/>
  <c r="AU197" i="8" s="1"/>
  <c r="V197" i="8"/>
  <c r="AH197" i="8" s="1"/>
  <c r="Y197" i="8"/>
  <c r="AL197" i="8" s="1"/>
  <c r="S197" i="8"/>
  <c r="X197" i="8"/>
  <c r="AK197" i="8" s="1"/>
  <c r="W197" i="8"/>
  <c r="AI197" i="8" s="1"/>
  <c r="U197" i="8"/>
  <c r="AF197" i="8" s="1"/>
  <c r="AA197" i="8"/>
  <c r="T197" i="8"/>
  <c r="AE197" i="8" s="1"/>
  <c r="DI195" i="8"/>
  <c r="DL195" i="8" s="1"/>
  <c r="DO195" i="8" s="1"/>
  <c r="DR195" i="8" s="1"/>
  <c r="DU195" i="8" s="1"/>
  <c r="BT196" i="8"/>
  <c r="AR196" i="8"/>
  <c r="AT196" i="8"/>
  <c r="BV196" i="8"/>
  <c r="AS196" i="8"/>
  <c r="BU196" i="8"/>
  <c r="AY197" i="8" l="1"/>
  <c r="DT197" i="8"/>
  <c r="AN197" i="8"/>
  <c r="BQ197" i="8" s="1"/>
  <c r="CI197" i="8" s="1"/>
  <c r="AD197" i="8"/>
  <c r="AG197" i="8" s="1"/>
  <c r="AJ197" i="8" s="1"/>
  <c r="DN197" i="8"/>
  <c r="AW197" i="8"/>
  <c r="X198" i="8"/>
  <c r="AK198" i="8" s="1"/>
  <c r="AA198" i="8"/>
  <c r="T198" i="8"/>
  <c r="AE198" i="8" s="1"/>
  <c r="Z198" i="8"/>
  <c r="AM198" i="8" s="1"/>
  <c r="AU198" i="8" s="1"/>
  <c r="U198" i="8"/>
  <c r="AF198" i="8" s="1"/>
  <c r="Q199" i="8"/>
  <c r="R198" i="8"/>
  <c r="V198" i="8"/>
  <c r="AH198" i="8" s="1"/>
  <c r="Y198" i="8"/>
  <c r="AL198" i="8" s="1"/>
  <c r="W198" i="8"/>
  <c r="AI198" i="8" s="1"/>
  <c r="S198" i="8"/>
  <c r="AX197" i="8"/>
  <c r="DQ197" i="8"/>
  <c r="DI196" i="8"/>
  <c r="DL196" i="8" s="1"/>
  <c r="DO196" i="8" s="1"/>
  <c r="DR196" i="8" s="1"/>
  <c r="DU196" i="8" s="1"/>
  <c r="AS197" i="8"/>
  <c r="BU197" i="8"/>
  <c r="AR197" i="8"/>
  <c r="BT197" i="8"/>
  <c r="BV197" i="8"/>
  <c r="AT197" i="8"/>
  <c r="DT198" i="8" l="1"/>
  <c r="AY198" i="8"/>
  <c r="W199" i="8"/>
  <c r="AI199" i="8" s="1"/>
  <c r="Q200" i="8"/>
  <c r="X199" i="8"/>
  <c r="AK199" i="8" s="1"/>
  <c r="Y199" i="8"/>
  <c r="AL199" i="8" s="1"/>
  <c r="S199" i="8"/>
  <c r="R199" i="8"/>
  <c r="AA199" i="8"/>
  <c r="V199" i="8"/>
  <c r="AH199" i="8" s="1"/>
  <c r="T199" i="8"/>
  <c r="AE199" i="8" s="1"/>
  <c r="U199" i="8"/>
  <c r="AF199" i="8" s="1"/>
  <c r="Z199" i="8"/>
  <c r="AM199" i="8" s="1"/>
  <c r="AU199" i="8" s="1"/>
  <c r="DN198" i="8"/>
  <c r="AW198" i="8"/>
  <c r="DI197" i="8"/>
  <c r="DL197" i="8" s="1"/>
  <c r="DO197" i="8" s="1"/>
  <c r="DR197" i="8" s="1"/>
  <c r="DU197" i="8" s="1"/>
  <c r="AX198" i="8"/>
  <c r="DQ198" i="8"/>
  <c r="AN198" i="8"/>
  <c r="BQ198" i="8" s="1"/>
  <c r="CI198" i="8" s="1"/>
  <c r="AD198" i="8"/>
  <c r="AG198" i="8" s="1"/>
  <c r="AJ198" i="8" s="1"/>
  <c r="AR198" i="8"/>
  <c r="BT198" i="8"/>
  <c r="BV198" i="8"/>
  <c r="AT198" i="8"/>
  <c r="BU198" i="8"/>
  <c r="AS198" i="8"/>
  <c r="AW199" i="8" l="1"/>
  <c r="DN199" i="8"/>
  <c r="X200" i="8"/>
  <c r="AK200" i="8" s="1"/>
  <c r="Q201" i="8"/>
  <c r="V200" i="8"/>
  <c r="AH200" i="8" s="1"/>
  <c r="AA200" i="8"/>
  <c r="R200" i="8"/>
  <c r="W200" i="8"/>
  <c r="AI200" i="8" s="1"/>
  <c r="Z200" i="8"/>
  <c r="AM200" i="8" s="1"/>
  <c r="AU200" i="8" s="1"/>
  <c r="T200" i="8"/>
  <c r="AE200" i="8" s="1"/>
  <c r="U200" i="8"/>
  <c r="AF200" i="8" s="1"/>
  <c r="Y200" i="8"/>
  <c r="AL200" i="8" s="1"/>
  <c r="S200" i="8"/>
  <c r="DQ199" i="8"/>
  <c r="AX199" i="8"/>
  <c r="DI198" i="8"/>
  <c r="DL198" i="8" s="1"/>
  <c r="DO198" i="8" s="1"/>
  <c r="DR198" i="8" s="1"/>
  <c r="DU198" i="8" s="1"/>
  <c r="AD199" i="8"/>
  <c r="AG199" i="8" s="1"/>
  <c r="AJ199" i="8" s="1"/>
  <c r="AN199" i="8"/>
  <c r="BQ199" i="8" s="1"/>
  <c r="CI199" i="8" s="1"/>
  <c r="DT199" i="8"/>
  <c r="AY199" i="8"/>
  <c r="BU199" i="8"/>
  <c r="AS199" i="8"/>
  <c r="AT199" i="8"/>
  <c r="BV199" i="8"/>
  <c r="BT199" i="8"/>
  <c r="AR199" i="8"/>
  <c r="AN200" i="8" l="1"/>
  <c r="BQ200" i="8" s="1"/>
  <c r="CI200" i="8" s="1"/>
  <c r="AD200" i="8"/>
  <c r="AG200" i="8" s="1"/>
  <c r="AJ200" i="8" s="1"/>
  <c r="DT200" i="8"/>
  <c r="AY200" i="8"/>
  <c r="S201" i="8"/>
  <c r="U201" i="8"/>
  <c r="AF201" i="8" s="1"/>
  <c r="R201" i="8"/>
  <c r="T201" i="8"/>
  <c r="AE201" i="8" s="1"/>
  <c r="Q202" i="8"/>
  <c r="AA201" i="8"/>
  <c r="X201" i="8"/>
  <c r="AK201" i="8" s="1"/>
  <c r="Z201" i="8"/>
  <c r="AM201" i="8" s="1"/>
  <c r="AU201" i="8" s="1"/>
  <c r="V201" i="8"/>
  <c r="AH201" i="8" s="1"/>
  <c r="Y201" i="8"/>
  <c r="AL201" i="8" s="1"/>
  <c r="W201" i="8"/>
  <c r="AI201" i="8" s="1"/>
  <c r="AW200" i="8"/>
  <c r="DN200" i="8"/>
  <c r="AX200" i="8"/>
  <c r="DQ200" i="8"/>
  <c r="DI199" i="8"/>
  <c r="DL199" i="8" s="1"/>
  <c r="DO199" i="8" s="1"/>
  <c r="DR199" i="8" s="1"/>
  <c r="DU199" i="8" s="1"/>
  <c r="BU200" i="8"/>
  <c r="AS200" i="8"/>
  <c r="BT200" i="8"/>
  <c r="AR200" i="8"/>
  <c r="BV200" i="8"/>
  <c r="AT200" i="8"/>
  <c r="AD201" i="8" l="1"/>
  <c r="AG201" i="8" s="1"/>
  <c r="AJ201" i="8" s="1"/>
  <c r="AN201" i="8"/>
  <c r="BQ201" i="8" s="1"/>
  <c r="CI201" i="8" s="1"/>
  <c r="AA202" i="8"/>
  <c r="V202" i="8"/>
  <c r="AH202" i="8" s="1"/>
  <c r="Y202" i="8"/>
  <c r="AL202" i="8" s="1"/>
  <c r="X202" i="8"/>
  <c r="AK202" i="8" s="1"/>
  <c r="W202" i="8"/>
  <c r="AI202" i="8" s="1"/>
  <c r="U202" i="8"/>
  <c r="AF202" i="8" s="1"/>
  <c r="S202" i="8"/>
  <c r="Q203" i="8"/>
  <c r="R202" i="8"/>
  <c r="T202" i="8"/>
  <c r="AE202" i="8" s="1"/>
  <c r="Z202" i="8"/>
  <c r="AM202" i="8" s="1"/>
  <c r="AU202" i="8" s="1"/>
  <c r="DQ201" i="8"/>
  <c r="AX201" i="8"/>
  <c r="DT201" i="8"/>
  <c r="AY201" i="8"/>
  <c r="AW201" i="8"/>
  <c r="DN201" i="8"/>
  <c r="DI200" i="8"/>
  <c r="DL200" i="8" s="1"/>
  <c r="DO200" i="8" s="1"/>
  <c r="DR200" i="8" s="1"/>
  <c r="DU200" i="8" s="1"/>
  <c r="AR201" i="8"/>
  <c r="BT201" i="8"/>
  <c r="BU201" i="8"/>
  <c r="AS201" i="8"/>
  <c r="AT201" i="8"/>
  <c r="BV201" i="8"/>
  <c r="AY202" i="8" l="1"/>
  <c r="DT202" i="8"/>
  <c r="AD202" i="8"/>
  <c r="AG202" i="8" s="1"/>
  <c r="AJ202" i="8" s="1"/>
  <c r="AN202" i="8"/>
  <c r="BQ202" i="8" s="1"/>
  <c r="CI202" i="8" s="1"/>
  <c r="V203" i="8"/>
  <c r="AH203" i="8" s="1"/>
  <c r="X203" i="8"/>
  <c r="AK203" i="8" s="1"/>
  <c r="Y203" i="8"/>
  <c r="AL203" i="8" s="1"/>
  <c r="W203" i="8"/>
  <c r="AI203" i="8" s="1"/>
  <c r="Q204" i="8"/>
  <c r="T203" i="8"/>
  <c r="AE203" i="8" s="1"/>
  <c r="U203" i="8"/>
  <c r="AF203" i="8" s="1"/>
  <c r="S203" i="8"/>
  <c r="R203" i="8"/>
  <c r="AA203" i="8"/>
  <c r="Z203" i="8"/>
  <c r="AM203" i="8" s="1"/>
  <c r="AU203" i="8" s="1"/>
  <c r="DI201" i="8"/>
  <c r="DL201" i="8" s="1"/>
  <c r="DO201" i="8" s="1"/>
  <c r="DR201" i="8" s="1"/>
  <c r="DU201" i="8" s="1"/>
  <c r="AW202" i="8"/>
  <c r="DN202" i="8"/>
  <c r="DQ202" i="8"/>
  <c r="AX202" i="8"/>
  <c r="AT202" i="8"/>
  <c r="BV202" i="8"/>
  <c r="AR202" i="8"/>
  <c r="BT202" i="8"/>
  <c r="BU202" i="8"/>
  <c r="AS202" i="8"/>
  <c r="DI202" i="8" l="1"/>
  <c r="DL202" i="8" s="1"/>
  <c r="DO202" i="8" s="1"/>
  <c r="DR202" i="8" s="1"/>
  <c r="DU202" i="8" s="1"/>
  <c r="AW203" i="8"/>
  <c r="DN203" i="8"/>
  <c r="W204" i="8"/>
  <c r="AI204" i="8" s="1"/>
  <c r="S204" i="8"/>
  <c r="T204" i="8"/>
  <c r="AE204" i="8" s="1"/>
  <c r="V204" i="8"/>
  <c r="AH204" i="8" s="1"/>
  <c r="U204" i="8"/>
  <c r="AF204" i="8" s="1"/>
  <c r="Z204" i="8"/>
  <c r="AM204" i="8" s="1"/>
  <c r="AU204" i="8" s="1"/>
  <c r="Q205" i="8"/>
  <c r="R204" i="8"/>
  <c r="AA204" i="8"/>
  <c r="X204" i="8"/>
  <c r="AK204" i="8" s="1"/>
  <c r="Y204" i="8"/>
  <c r="AL204" i="8" s="1"/>
  <c r="AX203" i="8"/>
  <c r="DQ203" i="8"/>
  <c r="AY203" i="8"/>
  <c r="DT203" i="8"/>
  <c r="AD203" i="8"/>
  <c r="AG203" i="8" s="1"/>
  <c r="AJ203" i="8" s="1"/>
  <c r="AN203" i="8"/>
  <c r="BQ203" i="8" s="1"/>
  <c r="CI203" i="8" s="1"/>
  <c r="AT203" i="8"/>
  <c r="BV203" i="8"/>
  <c r="AR203" i="8"/>
  <c r="BT203" i="8"/>
  <c r="AS203" i="8"/>
  <c r="BU203" i="8"/>
  <c r="S205" i="8" l="1"/>
  <c r="W205" i="8"/>
  <c r="AI205" i="8" s="1"/>
  <c r="R205" i="8"/>
  <c r="Z205" i="8"/>
  <c r="AM205" i="8" s="1"/>
  <c r="AU205" i="8" s="1"/>
  <c r="Q206" i="8"/>
  <c r="X205" i="8"/>
  <c r="AK205" i="8" s="1"/>
  <c r="AA205" i="8"/>
  <c r="T205" i="8"/>
  <c r="AE205" i="8" s="1"/>
  <c r="V205" i="8"/>
  <c r="AH205" i="8" s="1"/>
  <c r="Y205" i="8"/>
  <c r="AL205" i="8" s="1"/>
  <c r="U205" i="8"/>
  <c r="AF205" i="8" s="1"/>
  <c r="DN204" i="8"/>
  <c r="AW204" i="8"/>
  <c r="AY204" i="8"/>
  <c r="DT204" i="8"/>
  <c r="DI203" i="8"/>
  <c r="DL203" i="8" s="1"/>
  <c r="DO203" i="8" s="1"/>
  <c r="DR203" i="8" s="1"/>
  <c r="DU203" i="8" s="1"/>
  <c r="AD204" i="8"/>
  <c r="AG204" i="8" s="1"/>
  <c r="AJ204" i="8" s="1"/>
  <c r="AN204" i="8"/>
  <c r="BQ204" i="8" s="1"/>
  <c r="CI204" i="8" s="1"/>
  <c r="AX204" i="8"/>
  <c r="DQ204" i="8"/>
  <c r="BT204" i="8"/>
  <c r="AR204" i="8"/>
  <c r="AT204" i="8"/>
  <c r="BV204" i="8"/>
  <c r="AS204" i="8"/>
  <c r="BU204" i="8"/>
  <c r="DI204" i="8" l="1"/>
  <c r="DL204" i="8" s="1"/>
  <c r="DO204" i="8" s="1"/>
  <c r="DR204" i="8" s="1"/>
  <c r="DU204" i="8" s="1"/>
  <c r="AN205" i="8"/>
  <c r="BQ205" i="8" s="1"/>
  <c r="CI205" i="8" s="1"/>
  <c r="AD205" i="8"/>
  <c r="AG205" i="8" s="1"/>
  <c r="AJ205" i="8" s="1"/>
  <c r="Y206" i="8"/>
  <c r="AL206" i="8" s="1"/>
  <c r="W206" i="8"/>
  <c r="AI206" i="8" s="1"/>
  <c r="U206" i="8"/>
  <c r="AF206" i="8" s="1"/>
  <c r="V206" i="8"/>
  <c r="AH206" i="8" s="1"/>
  <c r="Q207" i="8"/>
  <c r="X206" i="8"/>
  <c r="AK206" i="8" s="1"/>
  <c r="AA206" i="8"/>
  <c r="R206" i="8"/>
  <c r="Z206" i="8"/>
  <c r="AM206" i="8" s="1"/>
  <c r="AU206" i="8" s="1"/>
  <c r="T206" i="8"/>
  <c r="AE206" i="8" s="1"/>
  <c r="S206" i="8"/>
  <c r="DN205" i="8"/>
  <c r="AW205" i="8"/>
  <c r="DT205" i="8"/>
  <c r="AY205" i="8"/>
  <c r="AX205" i="8"/>
  <c r="DQ205" i="8"/>
  <c r="BU205" i="8"/>
  <c r="AS205" i="8"/>
  <c r="BV205" i="8"/>
  <c r="AT205" i="8"/>
  <c r="AR205" i="8"/>
  <c r="BT205" i="8"/>
  <c r="AN206" i="8" l="1"/>
  <c r="BQ206" i="8" s="1"/>
  <c r="CI206" i="8" s="1"/>
  <c r="AD206" i="8"/>
  <c r="AG206" i="8" s="1"/>
  <c r="AJ206" i="8" s="1"/>
  <c r="T207" i="8"/>
  <c r="AE207" i="8" s="1"/>
  <c r="AA207" i="8"/>
  <c r="Z207" i="8"/>
  <c r="AM207" i="8" s="1"/>
  <c r="AU207" i="8" s="1"/>
  <c r="U207" i="8"/>
  <c r="AF207" i="8" s="1"/>
  <c r="X207" i="8"/>
  <c r="AK207" i="8" s="1"/>
  <c r="Q208" i="8"/>
  <c r="V207" i="8"/>
  <c r="AH207" i="8" s="1"/>
  <c r="W207" i="8"/>
  <c r="AI207" i="8" s="1"/>
  <c r="S207" i="8"/>
  <c r="R207" i="8"/>
  <c r="Y207" i="8"/>
  <c r="AL207" i="8" s="1"/>
  <c r="DI205" i="8"/>
  <c r="DL205" i="8" s="1"/>
  <c r="DO205" i="8" s="1"/>
  <c r="DR205" i="8" s="1"/>
  <c r="DU205" i="8" s="1"/>
  <c r="DN206" i="8"/>
  <c r="AW206" i="8"/>
  <c r="DQ206" i="8"/>
  <c r="AX206" i="8"/>
  <c r="DT206" i="8"/>
  <c r="AY206" i="8"/>
  <c r="BV206" i="8"/>
  <c r="AT206" i="8"/>
  <c r="AR206" i="8"/>
  <c r="BT206" i="8"/>
  <c r="AS206" i="8"/>
  <c r="BU206" i="8"/>
  <c r="AY207" i="8" l="1"/>
  <c r="DT207" i="8"/>
  <c r="AN207" i="8"/>
  <c r="BQ207" i="8" s="1"/>
  <c r="CI207" i="8" s="1"/>
  <c r="AD207" i="8"/>
  <c r="AG207" i="8" s="1"/>
  <c r="AJ207" i="8" s="1"/>
  <c r="AX207" i="8"/>
  <c r="DQ207" i="8"/>
  <c r="U208" i="8"/>
  <c r="AF208" i="8" s="1"/>
  <c r="T208" i="8"/>
  <c r="AE208" i="8" s="1"/>
  <c r="X208" i="8"/>
  <c r="AK208" i="8" s="1"/>
  <c r="AA208" i="8"/>
  <c r="Q209" i="8"/>
  <c r="V208" i="8"/>
  <c r="AH208" i="8" s="1"/>
  <c r="R208" i="8"/>
  <c r="Z208" i="8"/>
  <c r="AM208" i="8" s="1"/>
  <c r="AU208" i="8" s="1"/>
  <c r="Y208" i="8"/>
  <c r="AL208" i="8" s="1"/>
  <c r="W208" i="8"/>
  <c r="AI208" i="8" s="1"/>
  <c r="S208" i="8"/>
  <c r="DI206" i="8"/>
  <c r="DL206" i="8" s="1"/>
  <c r="DO206" i="8" s="1"/>
  <c r="DR206" i="8" s="1"/>
  <c r="DU206" i="8" s="1"/>
  <c r="DN207" i="8"/>
  <c r="AW207" i="8"/>
  <c r="AS207" i="8"/>
  <c r="BU207" i="8"/>
  <c r="BV207" i="8"/>
  <c r="AT207" i="8"/>
  <c r="AR207" i="8"/>
  <c r="BT207" i="8"/>
  <c r="R209" i="8" l="1"/>
  <c r="AX208" i="8"/>
  <c r="DQ208" i="8"/>
  <c r="DN208" i="8"/>
  <c r="AW208" i="8"/>
  <c r="DI207" i="8"/>
  <c r="DL207" i="8" s="1"/>
  <c r="DO207" i="8" s="1"/>
  <c r="DR207" i="8" s="1"/>
  <c r="DU207" i="8" s="1"/>
  <c r="Q210" i="8"/>
  <c r="X209" i="8"/>
  <c r="AK209" i="8" s="1"/>
  <c r="AA209" i="8"/>
  <c r="V209" i="8"/>
  <c r="AH209" i="8" s="1"/>
  <c r="S209" i="8"/>
  <c r="Z209" i="8"/>
  <c r="AM209" i="8" s="1"/>
  <c r="AU209" i="8" s="1"/>
  <c r="Y209" i="8"/>
  <c r="AL209" i="8" s="1"/>
  <c r="W209" i="8"/>
  <c r="AI209" i="8" s="1"/>
  <c r="AY208" i="8"/>
  <c r="DT208" i="8"/>
  <c r="AD208" i="8"/>
  <c r="AG208" i="8" s="1"/>
  <c r="AJ208" i="8" s="1"/>
  <c r="AN208" i="8"/>
  <c r="BQ208" i="8" s="1"/>
  <c r="CI208" i="8" s="1"/>
  <c r="BV208" i="8"/>
  <c r="AT208" i="8"/>
  <c r="AS208" i="8"/>
  <c r="BU208" i="8"/>
  <c r="BT208" i="8"/>
  <c r="AR208" i="8"/>
  <c r="AN209" i="8" l="1"/>
  <c r="BQ209" i="8" s="1"/>
  <c r="CI209" i="8" s="1"/>
  <c r="AD209" i="8"/>
  <c r="AG209" i="8" s="1"/>
  <c r="AJ209" i="8" s="1"/>
  <c r="DI208" i="8"/>
  <c r="DL208" i="8" s="1"/>
  <c r="DO208" i="8" s="1"/>
  <c r="DR208" i="8" s="1"/>
  <c r="DU208" i="8" s="1"/>
  <c r="AX209" i="8"/>
  <c r="DQ209" i="8"/>
  <c r="U210" i="8"/>
  <c r="Q211" i="8"/>
  <c r="W210" i="8"/>
  <c r="AI210" i="8" s="1"/>
  <c r="X210" i="8"/>
  <c r="AK210" i="8" s="1"/>
  <c r="R210" i="8"/>
  <c r="AA210" i="8"/>
  <c r="V210" i="8"/>
  <c r="AH210" i="8" s="1"/>
  <c r="T210" i="8"/>
  <c r="S210" i="8"/>
  <c r="Z210" i="8"/>
  <c r="AM210" i="8" s="1"/>
  <c r="AU210" i="8" s="1"/>
  <c r="Y210" i="8"/>
  <c r="AL210" i="8" s="1"/>
  <c r="AY209" i="8"/>
  <c r="DT209" i="8"/>
  <c r="AS209" i="8"/>
  <c r="BU209" i="8"/>
  <c r="AT209" i="8"/>
  <c r="BV209" i="8"/>
  <c r="AX210" i="8" l="1"/>
  <c r="DQ210" i="8"/>
  <c r="S211" i="8"/>
  <c r="Q212" i="8"/>
  <c r="V211" i="8"/>
  <c r="AH211" i="8" s="1"/>
  <c r="T211" i="8"/>
  <c r="R211" i="8"/>
  <c r="X211" i="8"/>
  <c r="AK211" i="8" s="1"/>
  <c r="Z211" i="8"/>
  <c r="AM211" i="8" s="1"/>
  <c r="AU211" i="8" s="1"/>
  <c r="AA211" i="8"/>
  <c r="Y211" i="8"/>
  <c r="AL211" i="8" s="1"/>
  <c r="W211" i="8"/>
  <c r="AI211" i="8" s="1"/>
  <c r="U211" i="8"/>
  <c r="DI209" i="8"/>
  <c r="DL209" i="8" s="1"/>
  <c r="DO209" i="8" s="1"/>
  <c r="DR209" i="8" s="1"/>
  <c r="DU209" i="8" s="1"/>
  <c r="AN210" i="8"/>
  <c r="BQ210" i="8" s="1"/>
  <c r="CI210" i="8" s="1"/>
  <c r="AD210" i="8"/>
  <c r="AG210" i="8" s="1"/>
  <c r="AJ210" i="8" s="1"/>
  <c r="DT210" i="8"/>
  <c r="AY210" i="8"/>
  <c r="AS210" i="8"/>
  <c r="BU210" i="8"/>
  <c r="BV210" i="8"/>
  <c r="AT210" i="8"/>
  <c r="DI210" i="8" l="1"/>
  <c r="DL210" i="8" s="1"/>
  <c r="DO210" i="8" s="1"/>
  <c r="DR210" i="8" s="1"/>
  <c r="DU210" i="8" s="1"/>
  <c r="AX211" i="8"/>
  <c r="DQ211" i="8"/>
  <c r="U212" i="8"/>
  <c r="Y212" i="8"/>
  <c r="AL212" i="8" s="1"/>
  <c r="V212" i="8"/>
  <c r="AH212" i="8" s="1"/>
  <c r="X212" i="8"/>
  <c r="AK212" i="8" s="1"/>
  <c r="S212" i="8"/>
  <c r="W212" i="8"/>
  <c r="AI212" i="8" s="1"/>
  <c r="T212" i="8"/>
  <c r="R212" i="8"/>
  <c r="AA212" i="8"/>
  <c r="Q213" i="8"/>
  <c r="Z212" i="8"/>
  <c r="AM212" i="8" s="1"/>
  <c r="AU212" i="8" s="1"/>
  <c r="DT211" i="8"/>
  <c r="AY211" i="8"/>
  <c r="AN211" i="8"/>
  <c r="BQ211" i="8" s="1"/>
  <c r="CI211" i="8" s="1"/>
  <c r="AD211" i="8"/>
  <c r="AG211" i="8" s="1"/>
  <c r="AJ211" i="8" s="1"/>
  <c r="BV211" i="8"/>
  <c r="AT211" i="8"/>
  <c r="AS211" i="8"/>
  <c r="BU211" i="8"/>
  <c r="AX212" i="8" l="1"/>
  <c r="DQ212" i="8"/>
  <c r="DI211" i="8"/>
  <c r="DL211" i="8" s="1"/>
  <c r="DO211" i="8" s="1"/>
  <c r="DR211" i="8" s="1"/>
  <c r="DU211" i="8" s="1"/>
  <c r="Q214" i="8"/>
  <c r="T213" i="8"/>
  <c r="W213" i="8"/>
  <c r="AI213" i="8" s="1"/>
  <c r="Y213" i="8"/>
  <c r="AL213" i="8" s="1"/>
  <c r="R213" i="8"/>
  <c r="S213" i="8"/>
  <c r="X213" i="8"/>
  <c r="AK213" i="8" s="1"/>
  <c r="Z213" i="8"/>
  <c r="AM213" i="8" s="1"/>
  <c r="AU213" i="8" s="1"/>
  <c r="U213" i="8"/>
  <c r="AA213" i="8"/>
  <c r="V213" i="8"/>
  <c r="AH213" i="8" s="1"/>
  <c r="DT212" i="8"/>
  <c r="AY212" i="8"/>
  <c r="AN212" i="8"/>
  <c r="BQ212" i="8" s="1"/>
  <c r="CI212" i="8" s="1"/>
  <c r="AD212" i="8"/>
  <c r="AG212" i="8" s="1"/>
  <c r="AJ212" i="8" s="1"/>
  <c r="AS212" i="8"/>
  <c r="BU212" i="8"/>
  <c r="AT212" i="8"/>
  <c r="BV212" i="8"/>
  <c r="W214" i="8" l="1"/>
  <c r="AI214" i="8" s="1"/>
  <c r="U214" i="8"/>
  <c r="V214" i="8"/>
  <c r="AH214" i="8" s="1"/>
  <c r="S214" i="8"/>
  <c r="Q215" i="8"/>
  <c r="X214" i="8"/>
  <c r="AK214" i="8" s="1"/>
  <c r="AA214" i="8"/>
  <c r="T214" i="8"/>
  <c r="Y214" i="8"/>
  <c r="AL214" i="8" s="1"/>
  <c r="Z214" i="8"/>
  <c r="AM214" i="8" s="1"/>
  <c r="AU214" i="8" s="1"/>
  <c r="R214" i="8"/>
  <c r="DI212" i="8"/>
  <c r="DL212" i="8" s="1"/>
  <c r="DO212" i="8" s="1"/>
  <c r="DR212" i="8" s="1"/>
  <c r="DU212" i="8" s="1"/>
  <c r="AY213" i="8"/>
  <c r="DT213" i="8"/>
  <c r="AX213" i="8"/>
  <c r="DQ213" i="8"/>
  <c r="AD213" i="8"/>
  <c r="AG213" i="8" s="1"/>
  <c r="AJ213" i="8" s="1"/>
  <c r="AN213" i="8"/>
  <c r="BQ213" i="8" s="1"/>
  <c r="CI213" i="8" s="1"/>
  <c r="BU213" i="8"/>
  <c r="AS213" i="8"/>
  <c r="BV213" i="8"/>
  <c r="AT213" i="8"/>
  <c r="AA215" i="8" l="1"/>
  <c r="X215" i="8"/>
  <c r="AK215" i="8" s="1"/>
  <c r="Z215" i="8"/>
  <c r="AM215" i="8" s="1"/>
  <c r="AU215" i="8" s="1"/>
  <c r="R215" i="8"/>
  <c r="Q216" i="8"/>
  <c r="T215" i="8"/>
  <c r="U215" i="8"/>
  <c r="Y215" i="8"/>
  <c r="AL215" i="8" s="1"/>
  <c r="W215" i="8"/>
  <c r="AI215" i="8" s="1"/>
  <c r="S215" i="8"/>
  <c r="V215" i="8"/>
  <c r="AH215" i="8" s="1"/>
  <c r="DT214" i="8"/>
  <c r="AY214" i="8"/>
  <c r="DQ214" i="8"/>
  <c r="AX214" i="8"/>
  <c r="DI213" i="8"/>
  <c r="DL213" i="8" s="1"/>
  <c r="DO213" i="8" s="1"/>
  <c r="DR213" i="8" s="1"/>
  <c r="DU213" i="8" s="1"/>
  <c r="AD214" i="8"/>
  <c r="AG214" i="8" s="1"/>
  <c r="AJ214" i="8" s="1"/>
  <c r="AN214" i="8"/>
  <c r="BQ214" i="8" s="1"/>
  <c r="CI214" i="8" s="1"/>
  <c r="BU214" i="8"/>
  <c r="AS214" i="8"/>
  <c r="BV214" i="8"/>
  <c r="AT214" i="8"/>
  <c r="AY215" i="8" l="1"/>
  <c r="DT215" i="8"/>
  <c r="Q217" i="8"/>
  <c r="V216" i="8"/>
  <c r="AH216" i="8" s="1"/>
  <c r="Z216" i="8"/>
  <c r="AM216" i="8" s="1"/>
  <c r="AU216" i="8" s="1"/>
  <c r="Y216" i="8"/>
  <c r="AL216" i="8" s="1"/>
  <c r="X216" i="8"/>
  <c r="AK216" i="8" s="1"/>
  <c r="W216" i="8"/>
  <c r="AI216" i="8" s="1"/>
  <c r="S216" i="8"/>
  <c r="U216" i="8"/>
  <c r="R216" i="8"/>
  <c r="AA216" i="8"/>
  <c r="T216" i="8"/>
  <c r="DI214" i="8"/>
  <c r="DL214" i="8" s="1"/>
  <c r="DO214" i="8" s="1"/>
  <c r="DR214" i="8" s="1"/>
  <c r="DU214" i="8" s="1"/>
  <c r="DQ215" i="8"/>
  <c r="AX215" i="8"/>
  <c r="AD215" i="8"/>
  <c r="AG215" i="8" s="1"/>
  <c r="AJ215" i="8" s="1"/>
  <c r="AN215" i="8"/>
  <c r="BQ215" i="8" s="1"/>
  <c r="CI215" i="8" s="1"/>
  <c r="AT215" i="8"/>
  <c r="BV215" i="8"/>
  <c r="BU215" i="8"/>
  <c r="AS215" i="8"/>
  <c r="AN216" i="8" l="1"/>
  <c r="BQ216" i="8" s="1"/>
  <c r="CI216" i="8" s="1"/>
  <c r="AD216" i="8"/>
  <c r="AG216" i="8" s="1"/>
  <c r="AJ216" i="8" s="1"/>
  <c r="Z217" i="8"/>
  <c r="AM217" i="8" s="1"/>
  <c r="AU217" i="8" s="1"/>
  <c r="V217" i="8"/>
  <c r="AH217" i="8" s="1"/>
  <c r="Y217" i="8"/>
  <c r="AL217" i="8" s="1"/>
  <c r="W217" i="8"/>
  <c r="AI217" i="8" s="1"/>
  <c r="S217" i="8"/>
  <c r="U217" i="8"/>
  <c r="Q218" i="8"/>
  <c r="R217" i="8"/>
  <c r="X217" i="8"/>
  <c r="AK217" i="8" s="1"/>
  <c r="AA217" i="8"/>
  <c r="T217" i="8"/>
  <c r="AX216" i="8"/>
  <c r="DQ216" i="8"/>
  <c r="DI215" i="8"/>
  <c r="DL215" i="8" s="1"/>
  <c r="DO215" i="8" s="1"/>
  <c r="DR215" i="8" s="1"/>
  <c r="DU215" i="8" s="1"/>
  <c r="DT216" i="8"/>
  <c r="AY216" i="8"/>
  <c r="AT216" i="8"/>
  <c r="BV216" i="8"/>
  <c r="AS216" i="8"/>
  <c r="BU216" i="8"/>
  <c r="AX217" i="8" l="1"/>
  <c r="DQ217" i="8"/>
  <c r="AY217" i="8"/>
  <c r="DT217" i="8"/>
  <c r="AD217" i="8"/>
  <c r="AG217" i="8" s="1"/>
  <c r="AJ217" i="8" s="1"/>
  <c r="AN217" i="8"/>
  <c r="BQ217" i="8" s="1"/>
  <c r="CI217" i="8" s="1"/>
  <c r="AA218" i="8"/>
  <c r="R218" i="8"/>
  <c r="Q219" i="8"/>
  <c r="X218" i="8"/>
  <c r="AK218" i="8" s="1"/>
  <c r="Z218" i="8"/>
  <c r="AM218" i="8" s="1"/>
  <c r="AU218" i="8" s="1"/>
  <c r="T218" i="8"/>
  <c r="Y218" i="8"/>
  <c r="AL218" i="8" s="1"/>
  <c r="W218" i="8"/>
  <c r="AI218" i="8" s="1"/>
  <c r="S218" i="8"/>
  <c r="V218" i="8"/>
  <c r="AH218" i="8" s="1"/>
  <c r="U218" i="8"/>
  <c r="DI216" i="8"/>
  <c r="DL216" i="8" s="1"/>
  <c r="DO216" i="8" s="1"/>
  <c r="DR216" i="8" s="1"/>
  <c r="DU216" i="8" s="1"/>
  <c r="BV217" i="8"/>
  <c r="AT217" i="8"/>
  <c r="BU217" i="8"/>
  <c r="AS217" i="8"/>
  <c r="AA219" i="8" l="1"/>
  <c r="R219" i="8"/>
  <c r="Q220" i="8"/>
  <c r="T219" i="8"/>
  <c r="S219" i="8"/>
  <c r="Z219" i="8"/>
  <c r="AM219" i="8" s="1"/>
  <c r="AU219" i="8" s="1"/>
  <c r="V219" i="8"/>
  <c r="AH219" i="8" s="1"/>
  <c r="W219" i="8"/>
  <c r="AI219" i="8" s="1"/>
  <c r="Y219" i="8"/>
  <c r="AL219" i="8" s="1"/>
  <c r="U219" i="8"/>
  <c r="X219" i="8"/>
  <c r="AK219" i="8" s="1"/>
  <c r="DI217" i="8"/>
  <c r="DL217" i="8" s="1"/>
  <c r="DO217" i="8" s="1"/>
  <c r="DR217" i="8" s="1"/>
  <c r="DU217" i="8" s="1"/>
  <c r="AN218" i="8"/>
  <c r="BQ218" i="8" s="1"/>
  <c r="CI218" i="8" s="1"/>
  <c r="AD218" i="8"/>
  <c r="AG218" i="8" s="1"/>
  <c r="AJ218" i="8" s="1"/>
  <c r="DQ218" i="8"/>
  <c r="AX218" i="8"/>
  <c r="DT218" i="8"/>
  <c r="AY218" i="8"/>
  <c r="AT218" i="8"/>
  <c r="BV218" i="8"/>
  <c r="BU218" i="8"/>
  <c r="AS218" i="8"/>
  <c r="DI218" i="8" l="1"/>
  <c r="DL218" i="8" s="1"/>
  <c r="DO218" i="8" s="1"/>
  <c r="DR218" i="8" s="1"/>
  <c r="DU218" i="8" s="1"/>
  <c r="Z220" i="8"/>
  <c r="AM220" i="8" s="1"/>
  <c r="AU220" i="8" s="1"/>
  <c r="X220" i="8"/>
  <c r="AK220" i="8" s="1"/>
  <c r="W220" i="8"/>
  <c r="AI220" i="8" s="1"/>
  <c r="Y220" i="8"/>
  <c r="AL220" i="8" s="1"/>
  <c r="V220" i="8"/>
  <c r="AH220" i="8" s="1"/>
  <c r="U220" i="8"/>
  <c r="S220" i="8"/>
  <c r="Q221" i="8"/>
  <c r="T220" i="8"/>
  <c r="R220" i="8"/>
  <c r="AA220" i="8"/>
  <c r="DT219" i="8"/>
  <c r="AY219" i="8"/>
  <c r="AN219" i="8"/>
  <c r="BQ219" i="8" s="1"/>
  <c r="CI219" i="8" s="1"/>
  <c r="AD219" i="8"/>
  <c r="AG219" i="8" s="1"/>
  <c r="AJ219" i="8" s="1"/>
  <c r="DQ219" i="8"/>
  <c r="AX219" i="8"/>
  <c r="BU219" i="8"/>
  <c r="AS219" i="8"/>
  <c r="AT219" i="8"/>
  <c r="BV219" i="8"/>
  <c r="DT220" i="8" l="1"/>
  <c r="AY220" i="8"/>
  <c r="AN220" i="8"/>
  <c r="BQ220" i="8" s="1"/>
  <c r="CI220" i="8" s="1"/>
  <c r="AD220" i="8"/>
  <c r="AG220" i="8" s="1"/>
  <c r="AJ220" i="8" s="1"/>
  <c r="AX220" i="8"/>
  <c r="DQ220" i="8"/>
  <c r="DI219" i="8"/>
  <c r="DL219" i="8" s="1"/>
  <c r="DO219" i="8" s="1"/>
  <c r="DR219" i="8" s="1"/>
  <c r="DU219" i="8" s="1"/>
  <c r="U221" i="8"/>
  <c r="S221" i="8"/>
  <c r="AA221" i="8"/>
  <c r="X221" i="8"/>
  <c r="AK221" i="8" s="1"/>
  <c r="T221" i="8"/>
  <c r="Z221" i="8"/>
  <c r="AM221" i="8" s="1"/>
  <c r="AU221" i="8" s="1"/>
  <c r="R221" i="8"/>
  <c r="Q222" i="8"/>
  <c r="V221" i="8"/>
  <c r="AH221" i="8" s="1"/>
  <c r="Y221" i="8"/>
  <c r="AL221" i="8" s="1"/>
  <c r="W221" i="8"/>
  <c r="AI221" i="8" s="1"/>
  <c r="AS220" i="8"/>
  <c r="BU220" i="8"/>
  <c r="AT220" i="8"/>
  <c r="BV220" i="8"/>
  <c r="Y222" i="8" l="1"/>
  <c r="AL222" i="8" s="1"/>
  <c r="W222" i="8"/>
  <c r="AI222" i="8" s="1"/>
  <c r="S222" i="8"/>
  <c r="U222" i="8"/>
  <c r="AA222" i="8"/>
  <c r="R222" i="8"/>
  <c r="Q223" i="8"/>
  <c r="T222" i="8"/>
  <c r="X222" i="8"/>
  <c r="AK222" i="8" s="1"/>
  <c r="Z222" i="8"/>
  <c r="AM222" i="8" s="1"/>
  <c r="AU222" i="8" s="1"/>
  <c r="V222" i="8"/>
  <c r="AH222" i="8" s="1"/>
  <c r="DQ221" i="8"/>
  <c r="AX221" i="8"/>
  <c r="AN221" i="8"/>
  <c r="BQ221" i="8" s="1"/>
  <c r="CI221" i="8" s="1"/>
  <c r="AD221" i="8"/>
  <c r="AG221" i="8" s="1"/>
  <c r="AJ221" i="8" s="1"/>
  <c r="DT221" i="8"/>
  <c r="AY221" i="8"/>
  <c r="DI220" i="8"/>
  <c r="DL220" i="8" s="1"/>
  <c r="DO220" i="8" s="1"/>
  <c r="DR220" i="8" s="1"/>
  <c r="DU220" i="8" s="1"/>
  <c r="BV221" i="8"/>
  <c r="AT221" i="8"/>
  <c r="BU221" i="8"/>
  <c r="AS221" i="8"/>
  <c r="AD222" i="8" l="1"/>
  <c r="AG222" i="8" s="1"/>
  <c r="AJ222" i="8" s="1"/>
  <c r="AN222" i="8"/>
  <c r="BQ222" i="8" s="1"/>
  <c r="CI222" i="8" s="1"/>
  <c r="AX222" i="8"/>
  <c r="DQ222" i="8"/>
  <c r="AY222" i="8"/>
  <c r="DT222" i="8"/>
  <c r="DI221" i="8"/>
  <c r="DL221" i="8" s="1"/>
  <c r="DO221" i="8" s="1"/>
  <c r="DR221" i="8" s="1"/>
  <c r="DU221" i="8" s="1"/>
  <c r="V223" i="8"/>
  <c r="AH223" i="8" s="1"/>
  <c r="U223" i="8"/>
  <c r="W223" i="8"/>
  <c r="AI223" i="8" s="1"/>
  <c r="Q224" i="8"/>
  <c r="R223" i="8"/>
  <c r="AA223" i="8"/>
  <c r="X223" i="8"/>
  <c r="AK223" i="8" s="1"/>
  <c r="T223" i="8"/>
  <c r="Y223" i="8"/>
  <c r="AL223" i="8" s="1"/>
  <c r="Z223" i="8"/>
  <c r="AM223" i="8" s="1"/>
  <c r="AU223" i="8" s="1"/>
  <c r="S223" i="8"/>
  <c r="AS222" i="8"/>
  <c r="BU222" i="8"/>
  <c r="BV222" i="8"/>
  <c r="AT222" i="8"/>
  <c r="W224" i="8" l="1"/>
  <c r="AI224" i="8" s="1"/>
  <c r="AA224" i="8"/>
  <c r="X224" i="8"/>
  <c r="AK224" i="8" s="1"/>
  <c r="Q225" i="8"/>
  <c r="R224" i="8"/>
  <c r="T224" i="8"/>
  <c r="Z224" i="8"/>
  <c r="AM224" i="8" s="1"/>
  <c r="AU224" i="8" s="1"/>
  <c r="Y224" i="8"/>
  <c r="AL224" i="8" s="1"/>
  <c r="U224" i="8"/>
  <c r="S224" i="8"/>
  <c r="V224" i="8"/>
  <c r="AH224" i="8" s="1"/>
  <c r="AX223" i="8"/>
  <c r="DQ223" i="8"/>
  <c r="DI222" i="8"/>
  <c r="DL222" i="8" s="1"/>
  <c r="DO222" i="8" s="1"/>
  <c r="DR222" i="8" s="1"/>
  <c r="DU222" i="8" s="1"/>
  <c r="DT223" i="8"/>
  <c r="AY223" i="8"/>
  <c r="AN223" i="8"/>
  <c r="BQ223" i="8" s="1"/>
  <c r="CI223" i="8" s="1"/>
  <c r="AD223" i="8"/>
  <c r="AG223" i="8" s="1"/>
  <c r="AJ223" i="8" s="1"/>
  <c r="BV223" i="8"/>
  <c r="AT223" i="8"/>
  <c r="AS223" i="8"/>
  <c r="BU223" i="8"/>
  <c r="Z225" i="8" l="1"/>
  <c r="AM225" i="8" s="1"/>
  <c r="AU225" i="8" s="1"/>
  <c r="W225" i="8"/>
  <c r="AI225" i="8" s="1"/>
  <c r="U225" i="8"/>
  <c r="S225" i="8"/>
  <c r="AA225" i="8"/>
  <c r="T225" i="8"/>
  <c r="R225" i="8"/>
  <c r="Q226" i="8"/>
  <c r="V225" i="8"/>
  <c r="AH225" i="8" s="1"/>
  <c r="Y225" i="8"/>
  <c r="AL225" i="8" s="1"/>
  <c r="X225" i="8"/>
  <c r="AK225" i="8" s="1"/>
  <c r="AD224" i="8"/>
  <c r="AG224" i="8" s="1"/>
  <c r="AJ224" i="8" s="1"/>
  <c r="AN224" i="8"/>
  <c r="BQ224" i="8" s="1"/>
  <c r="CI224" i="8" s="1"/>
  <c r="DQ224" i="8"/>
  <c r="AX224" i="8"/>
  <c r="DI223" i="8"/>
  <c r="DL223" i="8" s="1"/>
  <c r="DO223" i="8" s="1"/>
  <c r="DR223" i="8" s="1"/>
  <c r="DU223" i="8" s="1"/>
  <c r="DT224" i="8"/>
  <c r="AY224" i="8"/>
  <c r="BU224" i="8"/>
  <c r="AS224" i="8"/>
  <c r="AT224" i="8"/>
  <c r="BV224" i="8"/>
  <c r="AN225" i="8" l="1"/>
  <c r="BQ225" i="8" s="1"/>
  <c r="CI225" i="8" s="1"/>
  <c r="AD225" i="8"/>
  <c r="AG225" i="8" s="1"/>
  <c r="AJ225" i="8" s="1"/>
  <c r="AY225" i="8"/>
  <c r="DT225" i="8"/>
  <c r="AX225" i="8"/>
  <c r="DQ225" i="8"/>
  <c r="DI224" i="8"/>
  <c r="DL224" i="8" s="1"/>
  <c r="DO224" i="8" s="1"/>
  <c r="DR224" i="8" s="1"/>
  <c r="DU224" i="8" s="1"/>
  <c r="S226" i="8"/>
  <c r="U226" i="8"/>
  <c r="R226" i="8"/>
  <c r="AA226" i="8"/>
  <c r="T226" i="8"/>
  <c r="Y226" i="8"/>
  <c r="AL226" i="8" s="1"/>
  <c r="Q227" i="8"/>
  <c r="V226" i="8"/>
  <c r="AH226" i="8" s="1"/>
  <c r="X226" i="8"/>
  <c r="AK226" i="8" s="1"/>
  <c r="Z226" i="8"/>
  <c r="AM226" i="8" s="1"/>
  <c r="AU226" i="8" s="1"/>
  <c r="W226" i="8"/>
  <c r="AI226" i="8" s="1"/>
  <c r="AS225" i="8"/>
  <c r="BU225" i="8"/>
  <c r="BV225" i="8"/>
  <c r="AT225" i="8"/>
  <c r="Q228" i="8" l="1"/>
  <c r="V227" i="8"/>
  <c r="AH227" i="8" s="1"/>
  <c r="S227" i="8"/>
  <c r="R227" i="8"/>
  <c r="T227" i="8"/>
  <c r="U227" i="8"/>
  <c r="X227" i="8"/>
  <c r="AK227" i="8" s="1"/>
  <c r="AA227" i="8"/>
  <c r="W227" i="8"/>
  <c r="AI227" i="8" s="1"/>
  <c r="Y227" i="8"/>
  <c r="AL227" i="8" s="1"/>
  <c r="Z227" i="8"/>
  <c r="AM227" i="8" s="1"/>
  <c r="AU227" i="8" s="1"/>
  <c r="AY226" i="8"/>
  <c r="DT226" i="8"/>
  <c r="AN226" i="8"/>
  <c r="BQ226" i="8" s="1"/>
  <c r="CI226" i="8" s="1"/>
  <c r="AD226" i="8"/>
  <c r="AG226" i="8" s="1"/>
  <c r="AJ226" i="8" s="1"/>
  <c r="DI225" i="8"/>
  <c r="DL225" i="8" s="1"/>
  <c r="DO225" i="8" s="1"/>
  <c r="DR225" i="8" s="1"/>
  <c r="DU225" i="8" s="1"/>
  <c r="DQ226" i="8"/>
  <c r="AX226" i="8"/>
  <c r="AT226" i="8"/>
  <c r="BV226" i="8"/>
  <c r="BU226" i="8"/>
  <c r="AS226" i="8"/>
  <c r="AY227" i="8" l="1"/>
  <c r="DT227" i="8"/>
  <c r="DQ227" i="8"/>
  <c r="AX227" i="8"/>
  <c r="AA228" i="8"/>
  <c r="X228" i="8"/>
  <c r="AK228" i="8" s="1"/>
  <c r="Q229" i="8"/>
  <c r="T228" i="8"/>
  <c r="Z228" i="8"/>
  <c r="AM228" i="8" s="1"/>
  <c r="AU228" i="8" s="1"/>
  <c r="V228" i="8"/>
  <c r="AH228" i="8" s="1"/>
  <c r="Y228" i="8"/>
  <c r="AL228" i="8" s="1"/>
  <c r="W228" i="8"/>
  <c r="AI228" i="8" s="1"/>
  <c r="U228" i="8"/>
  <c r="S228" i="8"/>
  <c r="R228" i="8"/>
  <c r="AD227" i="8"/>
  <c r="AG227" i="8" s="1"/>
  <c r="AJ227" i="8" s="1"/>
  <c r="AN227" i="8"/>
  <c r="BQ227" i="8" s="1"/>
  <c r="CI227" i="8" s="1"/>
  <c r="DI226" i="8"/>
  <c r="DL226" i="8" s="1"/>
  <c r="DO226" i="8" s="1"/>
  <c r="DR226" i="8" s="1"/>
  <c r="DU226" i="8" s="1"/>
  <c r="BU227" i="8"/>
  <c r="AS227" i="8"/>
  <c r="BV227" i="8"/>
  <c r="AT227" i="8"/>
  <c r="DT228" i="8" l="1"/>
  <c r="AY228" i="8"/>
  <c r="DI227" i="8"/>
  <c r="DL227" i="8" s="1"/>
  <c r="DO227" i="8" s="1"/>
  <c r="DR227" i="8" s="1"/>
  <c r="DU227" i="8" s="1"/>
  <c r="Q230" i="8"/>
  <c r="R229" i="8"/>
  <c r="AA229" i="8"/>
  <c r="X229" i="8"/>
  <c r="AK229" i="8" s="1"/>
  <c r="Y229" i="8"/>
  <c r="AL229" i="8" s="1"/>
  <c r="V229" i="8"/>
  <c r="AH229" i="8" s="1"/>
  <c r="Z229" i="8"/>
  <c r="AM229" i="8" s="1"/>
  <c r="AU229" i="8" s="1"/>
  <c r="U229" i="8"/>
  <c r="T229" i="8"/>
  <c r="W229" i="8"/>
  <c r="AI229" i="8" s="1"/>
  <c r="S229" i="8"/>
  <c r="AD228" i="8"/>
  <c r="AG228" i="8" s="1"/>
  <c r="AJ228" i="8" s="1"/>
  <c r="AN228" i="8"/>
  <c r="BQ228" i="8" s="1"/>
  <c r="CI228" i="8" s="1"/>
  <c r="DQ228" i="8"/>
  <c r="AX228" i="8"/>
  <c r="AT228" i="8"/>
  <c r="BV228" i="8"/>
  <c r="BU228" i="8"/>
  <c r="AS228" i="8"/>
  <c r="AX229" i="8" l="1"/>
  <c r="DQ229" i="8"/>
  <c r="W230" i="8"/>
  <c r="AI230" i="8" s="1"/>
  <c r="S230" i="8"/>
  <c r="U230" i="8"/>
  <c r="R230" i="8"/>
  <c r="V230" i="8"/>
  <c r="AH230" i="8" s="1"/>
  <c r="Q231" i="8"/>
  <c r="T230" i="8"/>
  <c r="AA230" i="8"/>
  <c r="X230" i="8"/>
  <c r="AK230" i="8" s="1"/>
  <c r="Y230" i="8"/>
  <c r="AL230" i="8" s="1"/>
  <c r="Z230" i="8"/>
  <c r="AM230" i="8" s="1"/>
  <c r="AU230" i="8" s="1"/>
  <c r="DI228" i="8"/>
  <c r="DL228" i="8" s="1"/>
  <c r="DO228" i="8" s="1"/>
  <c r="DR228" i="8" s="1"/>
  <c r="DU228" i="8" s="1"/>
  <c r="DT229" i="8"/>
  <c r="AY229" i="8"/>
  <c r="AN229" i="8"/>
  <c r="BQ229" i="8" s="1"/>
  <c r="CI229" i="8" s="1"/>
  <c r="AD229" i="8"/>
  <c r="AG229" i="8" s="1"/>
  <c r="AJ229" i="8" s="1"/>
  <c r="BV229" i="8"/>
  <c r="AT229" i="8"/>
  <c r="BU229" i="8"/>
  <c r="AS229" i="8"/>
  <c r="Y231" i="8" l="1"/>
  <c r="AL231" i="8" s="1"/>
  <c r="V231" i="8"/>
  <c r="AH231" i="8" s="1"/>
  <c r="W231" i="8"/>
  <c r="AI231" i="8" s="1"/>
  <c r="X231" i="8"/>
  <c r="AK231" i="8" s="1"/>
  <c r="S231" i="8"/>
  <c r="Z231" i="8"/>
  <c r="AM231" i="8" s="1"/>
  <c r="AU231" i="8" s="1"/>
  <c r="T231" i="8"/>
  <c r="R231" i="8"/>
  <c r="U231" i="8"/>
  <c r="AA231" i="8"/>
  <c r="Q232" i="8"/>
  <c r="DT230" i="8"/>
  <c r="AY230" i="8"/>
  <c r="DQ230" i="8"/>
  <c r="AX230" i="8"/>
  <c r="AN230" i="8"/>
  <c r="BQ230" i="8" s="1"/>
  <c r="CI230" i="8" s="1"/>
  <c r="AD230" i="8"/>
  <c r="AG230" i="8" s="1"/>
  <c r="AJ230" i="8" s="1"/>
  <c r="DI229" i="8"/>
  <c r="DL229" i="8" s="1"/>
  <c r="DO229" i="8" s="1"/>
  <c r="DR229" i="8" s="1"/>
  <c r="DU229" i="8" s="1"/>
  <c r="AT230" i="8"/>
  <c r="BV230" i="8"/>
  <c r="AS230" i="8"/>
  <c r="BU230" i="8"/>
  <c r="W232" i="8" l="1"/>
  <c r="AI232" i="8" s="1"/>
  <c r="S232" i="8"/>
  <c r="R232" i="8"/>
  <c r="Y232" i="8"/>
  <c r="AL232" i="8" s="1"/>
  <c r="Q233" i="8"/>
  <c r="V232" i="8"/>
  <c r="AH232" i="8" s="1"/>
  <c r="AA232" i="8"/>
  <c r="X232" i="8"/>
  <c r="AK232" i="8" s="1"/>
  <c r="Z232" i="8"/>
  <c r="AM232" i="8" s="1"/>
  <c r="AU232" i="8" s="1"/>
  <c r="T232" i="8"/>
  <c r="U232" i="8"/>
  <c r="DQ231" i="8"/>
  <c r="AX231" i="8"/>
  <c r="AN231" i="8"/>
  <c r="BQ231" i="8" s="1"/>
  <c r="CI231" i="8" s="1"/>
  <c r="AD231" i="8"/>
  <c r="AG231" i="8" s="1"/>
  <c r="AJ231" i="8" s="1"/>
  <c r="DI230" i="8"/>
  <c r="DL230" i="8" s="1"/>
  <c r="DO230" i="8" s="1"/>
  <c r="DR230" i="8" s="1"/>
  <c r="DU230" i="8" s="1"/>
  <c r="AY231" i="8"/>
  <c r="DT231" i="8"/>
  <c r="BU231" i="8"/>
  <c r="AS231" i="8"/>
  <c r="AT231" i="8"/>
  <c r="BV231" i="8"/>
  <c r="DQ232" i="8" l="1"/>
  <c r="AX232" i="8"/>
  <c r="AD232" i="8"/>
  <c r="AG232" i="8" s="1"/>
  <c r="AJ232" i="8" s="1"/>
  <c r="AN232" i="8"/>
  <c r="BQ232" i="8" s="1"/>
  <c r="CI232" i="8" s="1"/>
  <c r="DI231" i="8"/>
  <c r="DL231" i="8" s="1"/>
  <c r="DO231" i="8" s="1"/>
  <c r="DR231" i="8" s="1"/>
  <c r="DU231" i="8" s="1"/>
  <c r="Q234" i="8"/>
  <c r="T233" i="8"/>
  <c r="X233" i="8"/>
  <c r="AK233" i="8" s="1"/>
  <c r="Z233" i="8"/>
  <c r="AM233" i="8" s="1"/>
  <c r="AU233" i="8" s="1"/>
  <c r="W233" i="8"/>
  <c r="AI233" i="8" s="1"/>
  <c r="Y233" i="8"/>
  <c r="AL233" i="8" s="1"/>
  <c r="S233" i="8"/>
  <c r="U233" i="8"/>
  <c r="V233" i="8"/>
  <c r="AH233" i="8" s="1"/>
  <c r="AA233" i="8"/>
  <c r="R233" i="8"/>
  <c r="AY232" i="8"/>
  <c r="DT232" i="8"/>
  <c r="AT232" i="8"/>
  <c r="BV232" i="8"/>
  <c r="BU232" i="8"/>
  <c r="AS232" i="8"/>
  <c r="DQ233" i="8" l="1"/>
  <c r="AX233" i="8"/>
  <c r="AN233" i="8"/>
  <c r="BQ233" i="8" s="1"/>
  <c r="CI233" i="8" s="1"/>
  <c r="AD233" i="8"/>
  <c r="AG233" i="8" s="1"/>
  <c r="AJ233" i="8" s="1"/>
  <c r="DI232" i="8"/>
  <c r="DL232" i="8" s="1"/>
  <c r="DO232" i="8" s="1"/>
  <c r="DR232" i="8" s="1"/>
  <c r="DU232" i="8" s="1"/>
  <c r="T234" i="8"/>
  <c r="AA234" i="8"/>
  <c r="V234" i="8"/>
  <c r="AH234" i="8" s="1"/>
  <c r="S234" i="8"/>
  <c r="Z234" i="8"/>
  <c r="AM234" i="8" s="1"/>
  <c r="AU234" i="8" s="1"/>
  <c r="X234" i="8"/>
  <c r="AK234" i="8" s="1"/>
  <c r="W234" i="8"/>
  <c r="AI234" i="8" s="1"/>
  <c r="Y234" i="8"/>
  <c r="AL234" i="8" s="1"/>
  <c r="U234" i="8"/>
  <c r="Q235" i="8"/>
  <c r="R234" i="8"/>
  <c r="DT233" i="8"/>
  <c r="AY233" i="8"/>
  <c r="AS233" i="8"/>
  <c r="BU233" i="8"/>
  <c r="BV233" i="8"/>
  <c r="AT233" i="8"/>
  <c r="DQ234" i="8" l="1"/>
  <c r="AX234" i="8"/>
  <c r="DI233" i="8"/>
  <c r="DL233" i="8" s="1"/>
  <c r="DO233" i="8" s="1"/>
  <c r="DR233" i="8" s="1"/>
  <c r="DU233" i="8" s="1"/>
  <c r="W235" i="8"/>
  <c r="AI235" i="8" s="1"/>
  <c r="Q236" i="8"/>
  <c r="AA235" i="8"/>
  <c r="X235" i="8"/>
  <c r="AK235" i="8" s="1"/>
  <c r="T235" i="8"/>
  <c r="R235" i="8"/>
  <c r="Z235" i="8"/>
  <c r="AM235" i="8" s="1"/>
  <c r="AU235" i="8" s="1"/>
  <c r="Y235" i="8"/>
  <c r="AL235" i="8" s="1"/>
  <c r="V235" i="8"/>
  <c r="AH235" i="8" s="1"/>
  <c r="S235" i="8"/>
  <c r="U235" i="8"/>
  <c r="AD234" i="8"/>
  <c r="AG234" i="8" s="1"/>
  <c r="AJ234" i="8" s="1"/>
  <c r="AN234" i="8"/>
  <c r="BQ234" i="8" s="1"/>
  <c r="CI234" i="8" s="1"/>
  <c r="DT234" i="8"/>
  <c r="AY234" i="8"/>
  <c r="BV234" i="8"/>
  <c r="AT234" i="8"/>
  <c r="BU234" i="8"/>
  <c r="AS234" i="8"/>
  <c r="DI234" i="8" l="1"/>
  <c r="DL234" i="8" s="1"/>
  <c r="DO234" i="8" s="1"/>
  <c r="DR234" i="8" s="1"/>
  <c r="DU234" i="8" s="1"/>
  <c r="AN235" i="8"/>
  <c r="BQ235" i="8" s="1"/>
  <c r="CI235" i="8" s="1"/>
  <c r="AD235" i="8"/>
  <c r="AG235" i="8" s="1"/>
  <c r="AJ235" i="8" s="1"/>
  <c r="Q237" i="8"/>
  <c r="R236" i="8"/>
  <c r="Z236" i="8"/>
  <c r="AM236" i="8" s="1"/>
  <c r="AU236" i="8" s="1"/>
  <c r="X236" i="8"/>
  <c r="AK236" i="8" s="1"/>
  <c r="W236" i="8"/>
  <c r="AI236" i="8" s="1"/>
  <c r="Y236" i="8"/>
  <c r="AL236" i="8" s="1"/>
  <c r="T236" i="8"/>
  <c r="U236" i="8"/>
  <c r="AA236" i="8"/>
  <c r="S236" i="8"/>
  <c r="V236" i="8"/>
  <c r="AH236" i="8" s="1"/>
  <c r="AX235" i="8"/>
  <c r="DQ235" i="8"/>
  <c r="DT235" i="8"/>
  <c r="AY235" i="8"/>
  <c r="BV235" i="8"/>
  <c r="AT235" i="8"/>
  <c r="AS235" i="8"/>
  <c r="BU235" i="8"/>
  <c r="AD236" i="8" l="1"/>
  <c r="AG236" i="8" s="1"/>
  <c r="AJ236" i="8" s="1"/>
  <c r="AN236" i="8"/>
  <c r="BQ236" i="8" s="1"/>
  <c r="CI236" i="8" s="1"/>
  <c r="R237" i="8"/>
  <c r="S237" i="8"/>
  <c r="AA237" i="8"/>
  <c r="X237" i="8"/>
  <c r="AK237" i="8" s="1"/>
  <c r="Q238" i="8"/>
  <c r="T237" i="8"/>
  <c r="Z237" i="8"/>
  <c r="AM237" i="8" s="1"/>
  <c r="AU237" i="8" s="1"/>
  <c r="V237" i="8"/>
  <c r="AH237" i="8" s="1"/>
  <c r="U237" i="8"/>
  <c r="W237" i="8"/>
  <c r="AI237" i="8" s="1"/>
  <c r="Y237" i="8"/>
  <c r="AL237" i="8" s="1"/>
  <c r="AY236" i="8"/>
  <c r="DT236" i="8"/>
  <c r="DQ236" i="8"/>
  <c r="AX236" i="8"/>
  <c r="DI235" i="8"/>
  <c r="DL235" i="8" s="1"/>
  <c r="DO235" i="8" s="1"/>
  <c r="DR235" i="8" s="1"/>
  <c r="DU235" i="8" s="1"/>
  <c r="AS236" i="8"/>
  <c r="BU236" i="8"/>
  <c r="BV236" i="8"/>
  <c r="AT236" i="8"/>
  <c r="DI236" i="8" l="1"/>
  <c r="DL236" i="8" s="1"/>
  <c r="DO236" i="8" s="1"/>
  <c r="DR236" i="8" s="1"/>
  <c r="DU236" i="8" s="1"/>
  <c r="S238" i="8"/>
  <c r="X238" i="8"/>
  <c r="AK238" i="8" s="1"/>
  <c r="R238" i="8"/>
  <c r="Z238" i="8"/>
  <c r="AM238" i="8" s="1"/>
  <c r="AU238" i="8" s="1"/>
  <c r="Q239" i="8"/>
  <c r="T238" i="8"/>
  <c r="V238" i="8"/>
  <c r="AH238" i="8" s="1"/>
  <c r="AA238" i="8"/>
  <c r="Y238" i="8"/>
  <c r="AL238" i="8" s="1"/>
  <c r="W238" i="8"/>
  <c r="AI238" i="8" s="1"/>
  <c r="U238" i="8"/>
  <c r="DT237" i="8"/>
  <c r="AY237" i="8"/>
  <c r="AN237" i="8"/>
  <c r="BQ237" i="8" s="1"/>
  <c r="CI237" i="8" s="1"/>
  <c r="AD237" i="8"/>
  <c r="AG237" i="8" s="1"/>
  <c r="AJ237" i="8" s="1"/>
  <c r="AX237" i="8"/>
  <c r="DQ237" i="8"/>
  <c r="BU237" i="8"/>
  <c r="AS237" i="8"/>
  <c r="AT237" i="8"/>
  <c r="BV237" i="8"/>
  <c r="AX238" i="8" l="1"/>
  <c r="DQ238" i="8"/>
  <c r="DT238" i="8"/>
  <c r="AY238" i="8"/>
  <c r="AD238" i="8"/>
  <c r="AG238" i="8" s="1"/>
  <c r="AJ238" i="8" s="1"/>
  <c r="AN238" i="8"/>
  <c r="BQ238" i="8" s="1"/>
  <c r="CI238" i="8" s="1"/>
  <c r="Z239" i="8"/>
  <c r="AM239" i="8" s="1"/>
  <c r="AU239" i="8" s="1"/>
  <c r="U239" i="8"/>
  <c r="S239" i="8"/>
  <c r="R239" i="8"/>
  <c r="V239" i="8"/>
  <c r="AH239" i="8" s="1"/>
  <c r="Y239" i="8"/>
  <c r="AL239" i="8" s="1"/>
  <c r="Q240" i="8"/>
  <c r="X239" i="8"/>
  <c r="AK239" i="8" s="1"/>
  <c r="AA239" i="8"/>
  <c r="T239" i="8"/>
  <c r="W239" i="8"/>
  <c r="AI239" i="8" s="1"/>
  <c r="DI237" i="8"/>
  <c r="DL237" i="8" s="1"/>
  <c r="DO237" i="8" s="1"/>
  <c r="DR237" i="8" s="1"/>
  <c r="DU237" i="8" s="1"/>
  <c r="BU238" i="8"/>
  <c r="AS238" i="8"/>
  <c r="AT238" i="8"/>
  <c r="BV238" i="8"/>
  <c r="DI238" i="8" l="1"/>
  <c r="DL238" i="8" s="1"/>
  <c r="DO238" i="8" s="1"/>
  <c r="DR238" i="8" s="1"/>
  <c r="DU238" i="8" s="1"/>
  <c r="AN239" i="8"/>
  <c r="BQ239" i="8" s="1"/>
  <c r="CI239" i="8" s="1"/>
  <c r="AD239" i="8"/>
  <c r="AG239" i="8" s="1"/>
  <c r="AJ239" i="8" s="1"/>
  <c r="W240" i="8"/>
  <c r="AI240" i="8" s="1"/>
  <c r="S240" i="8"/>
  <c r="R240" i="8"/>
  <c r="Y240" i="8"/>
  <c r="AL240" i="8" s="1"/>
  <c r="U240" i="8"/>
  <c r="Q241" i="8"/>
  <c r="T240" i="8"/>
  <c r="AA240" i="8"/>
  <c r="V240" i="8"/>
  <c r="AH240" i="8" s="1"/>
  <c r="Z240" i="8"/>
  <c r="AM240" i="8" s="1"/>
  <c r="AU240" i="8" s="1"/>
  <c r="X240" i="8"/>
  <c r="AK240" i="8" s="1"/>
  <c r="AX239" i="8"/>
  <c r="DQ239" i="8"/>
  <c r="AY239" i="8"/>
  <c r="DT239" i="8"/>
  <c r="BV239" i="8"/>
  <c r="AT239" i="8"/>
  <c r="BU239" i="8"/>
  <c r="AS239" i="8"/>
  <c r="DQ240" i="8" l="1"/>
  <c r="AX240" i="8"/>
  <c r="AD240" i="8"/>
  <c r="AG240" i="8" s="1"/>
  <c r="AJ240" i="8" s="1"/>
  <c r="AN240" i="8"/>
  <c r="BQ240" i="8" s="1"/>
  <c r="CI240" i="8" s="1"/>
  <c r="DI239" i="8"/>
  <c r="DL239" i="8" s="1"/>
  <c r="DO239" i="8" s="1"/>
  <c r="DR239" i="8" s="1"/>
  <c r="DU239" i="8" s="1"/>
  <c r="Z241" i="8"/>
  <c r="AM241" i="8" s="1"/>
  <c r="AU241" i="8" s="1"/>
  <c r="X241" i="8"/>
  <c r="AK241" i="8" s="1"/>
  <c r="V241" i="8"/>
  <c r="AH241" i="8" s="1"/>
  <c r="Y241" i="8"/>
  <c r="AL241" i="8" s="1"/>
  <c r="W241" i="8"/>
  <c r="AI241" i="8" s="1"/>
  <c r="S241" i="8"/>
  <c r="T241" i="8"/>
  <c r="R241" i="8"/>
  <c r="U241" i="8"/>
  <c r="AA241" i="8"/>
  <c r="Q242" i="8"/>
  <c r="DT240" i="8"/>
  <c r="AY240" i="8"/>
  <c r="BU240" i="8"/>
  <c r="AS240" i="8"/>
  <c r="BV240" i="8"/>
  <c r="AT240" i="8"/>
  <c r="AX241" i="8" l="1"/>
  <c r="DQ241" i="8"/>
  <c r="DI240" i="8"/>
  <c r="DL240" i="8" s="1"/>
  <c r="DO240" i="8" s="1"/>
  <c r="DR240" i="8" s="1"/>
  <c r="DU240" i="8" s="1"/>
  <c r="DT241" i="8"/>
  <c r="AY241" i="8"/>
  <c r="X242" i="8"/>
  <c r="AK242" i="8" s="1"/>
  <c r="AA242" i="8"/>
  <c r="V242" i="8"/>
  <c r="AH242" i="8" s="1"/>
  <c r="Q243" i="8"/>
  <c r="Z242" i="8"/>
  <c r="AM242" i="8" s="1"/>
  <c r="AU242" i="8" s="1"/>
  <c r="T242" i="8"/>
  <c r="Y242" i="8"/>
  <c r="AL242" i="8" s="1"/>
  <c r="W242" i="8"/>
  <c r="AI242" i="8" s="1"/>
  <c r="R242" i="8"/>
  <c r="U242" i="8"/>
  <c r="S242" i="8"/>
  <c r="AD241" i="8"/>
  <c r="AG241" i="8" s="1"/>
  <c r="AJ241" i="8" s="1"/>
  <c r="AN241" i="8"/>
  <c r="BQ241" i="8" s="1"/>
  <c r="CI241" i="8" s="1"/>
  <c r="AS241" i="8"/>
  <c r="BU241" i="8"/>
  <c r="AT241" i="8"/>
  <c r="BV241" i="8"/>
  <c r="AN242" i="8" l="1"/>
  <c r="BQ242" i="8" s="1"/>
  <c r="CI242" i="8" s="1"/>
  <c r="AD242" i="8"/>
  <c r="AG242" i="8" s="1"/>
  <c r="AJ242" i="8" s="1"/>
  <c r="DQ242" i="8"/>
  <c r="AX242" i="8"/>
  <c r="DT242" i="8"/>
  <c r="AY242" i="8"/>
  <c r="DI241" i="8"/>
  <c r="DL241" i="8" s="1"/>
  <c r="DO241" i="8" s="1"/>
  <c r="DR241" i="8" s="1"/>
  <c r="DU241" i="8" s="1"/>
  <c r="S243" i="8"/>
  <c r="T243" i="8"/>
  <c r="Y243" i="8"/>
  <c r="AL243" i="8" s="1"/>
  <c r="U243" i="8"/>
  <c r="AA243" i="8"/>
  <c r="V243" i="8"/>
  <c r="AH243" i="8" s="1"/>
  <c r="Q244" i="8"/>
  <c r="R243" i="8"/>
  <c r="W243" i="8"/>
  <c r="AI243" i="8" s="1"/>
  <c r="X243" i="8"/>
  <c r="AK243" i="8" s="1"/>
  <c r="Z243" i="8"/>
  <c r="AM243" i="8" s="1"/>
  <c r="AU243" i="8" s="1"/>
  <c r="BV242" i="8"/>
  <c r="AT242" i="8"/>
  <c r="BU242" i="8"/>
  <c r="AS242" i="8"/>
  <c r="X244" i="8" l="1"/>
  <c r="AK244" i="8" s="1"/>
  <c r="AA244" i="8"/>
  <c r="T244" i="8"/>
  <c r="Q245" i="8"/>
  <c r="R244" i="8"/>
  <c r="V244" i="8"/>
  <c r="AH244" i="8" s="1"/>
  <c r="Z244" i="8"/>
  <c r="AM244" i="8" s="1"/>
  <c r="AU244" i="8" s="1"/>
  <c r="W244" i="8"/>
  <c r="AI244" i="8" s="1"/>
  <c r="S244" i="8"/>
  <c r="Y244" i="8"/>
  <c r="AL244" i="8" s="1"/>
  <c r="U244" i="8"/>
  <c r="AD243" i="8"/>
  <c r="AG243" i="8" s="1"/>
  <c r="AJ243" i="8" s="1"/>
  <c r="AN243" i="8"/>
  <c r="BQ243" i="8" s="1"/>
  <c r="CI243" i="8" s="1"/>
  <c r="AY243" i="8"/>
  <c r="DT243" i="8"/>
  <c r="DI242" i="8"/>
  <c r="DL242" i="8" s="1"/>
  <c r="DO242" i="8" s="1"/>
  <c r="DR242" i="8" s="1"/>
  <c r="DU242" i="8" s="1"/>
  <c r="AX243" i="8"/>
  <c r="DQ243" i="8"/>
  <c r="AS243" i="8"/>
  <c r="BU243" i="8"/>
  <c r="BV243" i="8"/>
  <c r="AT243" i="8"/>
  <c r="DI243" i="8" l="1"/>
  <c r="DL243" i="8" s="1"/>
  <c r="DO243" i="8" s="1"/>
  <c r="DR243" i="8" s="1"/>
  <c r="DU243" i="8" s="1"/>
  <c r="Q246" i="8"/>
  <c r="AA245" i="8"/>
  <c r="X245" i="8"/>
  <c r="AK245" i="8" s="1"/>
  <c r="Z245" i="8"/>
  <c r="AM245" i="8" s="1"/>
  <c r="AU245" i="8" s="1"/>
  <c r="W245" i="8"/>
  <c r="AI245" i="8" s="1"/>
  <c r="Y245" i="8"/>
  <c r="AL245" i="8" s="1"/>
  <c r="T245" i="8"/>
  <c r="U245" i="8"/>
  <c r="S245" i="8"/>
  <c r="V245" i="8"/>
  <c r="AH245" i="8" s="1"/>
  <c r="R245" i="8"/>
  <c r="AY244" i="8"/>
  <c r="DT244" i="8"/>
  <c r="AN244" i="8"/>
  <c r="BQ244" i="8" s="1"/>
  <c r="CI244" i="8" s="1"/>
  <c r="AD244" i="8"/>
  <c r="AG244" i="8" s="1"/>
  <c r="AJ244" i="8" s="1"/>
  <c r="AX244" i="8"/>
  <c r="DQ244" i="8"/>
  <c r="AT244" i="8"/>
  <c r="BV244" i="8"/>
  <c r="BU244" i="8"/>
  <c r="AS244" i="8"/>
  <c r="DQ245" i="8" l="1"/>
  <c r="AX245" i="8"/>
  <c r="AN245" i="8"/>
  <c r="BQ245" i="8" s="1"/>
  <c r="CI245" i="8" s="1"/>
  <c r="AD245" i="8"/>
  <c r="AG245" i="8" s="1"/>
  <c r="AJ245" i="8" s="1"/>
  <c r="DI244" i="8"/>
  <c r="DL244" i="8" s="1"/>
  <c r="DO244" i="8" s="1"/>
  <c r="DR244" i="8" s="1"/>
  <c r="DU244" i="8" s="1"/>
  <c r="U246" i="8"/>
  <c r="S246" i="8"/>
  <c r="T246" i="8"/>
  <c r="V246" i="8"/>
  <c r="AH246" i="8" s="1"/>
  <c r="Y246" i="8"/>
  <c r="AL246" i="8" s="1"/>
  <c r="Z246" i="8"/>
  <c r="AM246" i="8" s="1"/>
  <c r="AU246" i="8" s="1"/>
  <c r="W246" i="8"/>
  <c r="AI246" i="8" s="1"/>
  <c r="AA246" i="8"/>
  <c r="R246" i="8"/>
  <c r="Q247" i="8"/>
  <c r="X246" i="8"/>
  <c r="AK246" i="8" s="1"/>
  <c r="DT245" i="8"/>
  <c r="AY245" i="8"/>
  <c r="AT245" i="8"/>
  <c r="BV245" i="8"/>
  <c r="AS245" i="8"/>
  <c r="BU245" i="8"/>
  <c r="DT246" i="8" l="1"/>
  <c r="AY246" i="8"/>
  <c r="Z247" i="8"/>
  <c r="AM247" i="8" s="1"/>
  <c r="AU247" i="8" s="1"/>
  <c r="V247" i="8"/>
  <c r="AH247" i="8" s="1"/>
  <c r="Y247" i="8"/>
  <c r="AL247" i="8" s="1"/>
  <c r="R247" i="8"/>
  <c r="W247" i="8"/>
  <c r="AI247" i="8" s="1"/>
  <c r="X247" i="8"/>
  <c r="AK247" i="8" s="1"/>
  <c r="AA247" i="8"/>
  <c r="U247" i="8"/>
  <c r="S247" i="8"/>
  <c r="Q248" i="8"/>
  <c r="T247" i="8"/>
  <c r="DI245" i="8"/>
  <c r="DL245" i="8" s="1"/>
  <c r="DO245" i="8" s="1"/>
  <c r="DR245" i="8" s="1"/>
  <c r="DU245" i="8" s="1"/>
  <c r="AD246" i="8"/>
  <c r="AG246" i="8" s="1"/>
  <c r="AJ246" i="8" s="1"/>
  <c r="AN246" i="8"/>
  <c r="BQ246" i="8" s="1"/>
  <c r="CI246" i="8" s="1"/>
  <c r="DQ246" i="8"/>
  <c r="AX246" i="8"/>
  <c r="AS246" i="8"/>
  <c r="BU246" i="8"/>
  <c r="BV246" i="8"/>
  <c r="AT246" i="8"/>
  <c r="DI246" i="8" l="1"/>
  <c r="DL246" i="8" s="1"/>
  <c r="DO246" i="8" s="1"/>
  <c r="DR246" i="8" s="1"/>
  <c r="DU246" i="8" s="1"/>
  <c r="DQ247" i="8"/>
  <c r="AX247" i="8"/>
  <c r="DT247" i="8"/>
  <c r="AY247" i="8"/>
  <c r="Y248" i="8"/>
  <c r="AL248" i="8" s="1"/>
  <c r="S248" i="8"/>
  <c r="V248" i="8"/>
  <c r="AH248" i="8" s="1"/>
  <c r="X248" i="8"/>
  <c r="AK248" i="8" s="1"/>
  <c r="AA248" i="8"/>
  <c r="T248" i="8"/>
  <c r="Q249" i="8"/>
  <c r="R248" i="8"/>
  <c r="Z248" i="8"/>
  <c r="AM248" i="8" s="1"/>
  <c r="AU248" i="8" s="1"/>
  <c r="W248" i="8"/>
  <c r="AI248" i="8" s="1"/>
  <c r="U248" i="8"/>
  <c r="AN247" i="8"/>
  <c r="BQ247" i="8" s="1"/>
  <c r="CI247" i="8" s="1"/>
  <c r="AD247" i="8"/>
  <c r="AG247" i="8" s="1"/>
  <c r="AJ247" i="8" s="1"/>
  <c r="BU247" i="8"/>
  <c r="AS247" i="8"/>
  <c r="BV247" i="8"/>
  <c r="AT247" i="8"/>
  <c r="DI247" i="8" l="1"/>
  <c r="DL247" i="8" s="1"/>
  <c r="DO247" i="8" s="1"/>
  <c r="DR247" i="8" s="1"/>
  <c r="DU247" i="8" s="1"/>
  <c r="Q250" i="8"/>
  <c r="V249" i="8"/>
  <c r="AH249" i="8" s="1"/>
  <c r="Z249" i="8"/>
  <c r="AM249" i="8" s="1"/>
  <c r="AU249" i="8" s="1"/>
  <c r="T249" i="8"/>
  <c r="Y249" i="8"/>
  <c r="AL249" i="8" s="1"/>
  <c r="R249" i="8"/>
  <c r="AA249" i="8"/>
  <c r="S249" i="8"/>
  <c r="W249" i="8"/>
  <c r="AI249" i="8" s="1"/>
  <c r="U249" i="8"/>
  <c r="X249" i="8"/>
  <c r="AK249" i="8" s="1"/>
  <c r="AN248" i="8"/>
  <c r="BQ248" i="8" s="1"/>
  <c r="CI248" i="8" s="1"/>
  <c r="AD248" i="8"/>
  <c r="AG248" i="8" s="1"/>
  <c r="AJ248" i="8" s="1"/>
  <c r="AX248" i="8"/>
  <c r="DQ248" i="8"/>
  <c r="AY248" i="8"/>
  <c r="DT248" i="8"/>
  <c r="AT248" i="8"/>
  <c r="BV248" i="8"/>
  <c r="AS248" i="8"/>
  <c r="BU248" i="8"/>
  <c r="DI248" i="8" l="1"/>
  <c r="DL248" i="8" s="1"/>
  <c r="DO248" i="8" s="1"/>
  <c r="DR248" i="8" s="1"/>
  <c r="DU248" i="8" s="1"/>
  <c r="AX249" i="8"/>
  <c r="DQ249" i="8"/>
  <c r="Q251" i="8"/>
  <c r="X250" i="8"/>
  <c r="AK250" i="8" s="1"/>
  <c r="Y250" i="8"/>
  <c r="AL250" i="8" s="1"/>
  <c r="S250" i="8"/>
  <c r="W250" i="8"/>
  <c r="AI250" i="8" s="1"/>
  <c r="U250" i="8"/>
  <c r="T250" i="8"/>
  <c r="AA250" i="8"/>
  <c r="R250" i="8"/>
  <c r="V250" i="8"/>
  <c r="AH250" i="8" s="1"/>
  <c r="Z250" i="8"/>
  <c r="AM250" i="8" s="1"/>
  <c r="AU250" i="8" s="1"/>
  <c r="AD249" i="8"/>
  <c r="AG249" i="8" s="1"/>
  <c r="AJ249" i="8" s="1"/>
  <c r="AN249" i="8"/>
  <c r="BQ249" i="8" s="1"/>
  <c r="CI249" i="8" s="1"/>
  <c r="DT249" i="8"/>
  <c r="AY249" i="8"/>
  <c r="AS249" i="8"/>
  <c r="BU249" i="8"/>
  <c r="AT249" i="8"/>
  <c r="BV249" i="8"/>
  <c r="DQ250" i="8" l="1"/>
  <c r="AX250" i="8"/>
  <c r="AY250" i="8"/>
  <c r="DT250" i="8"/>
  <c r="AA251" i="8"/>
  <c r="V251" i="8"/>
  <c r="AH251" i="8" s="1"/>
  <c r="Q252" i="8"/>
  <c r="W251" i="8"/>
  <c r="AI251" i="8" s="1"/>
  <c r="X251" i="8"/>
  <c r="AK251" i="8" s="1"/>
  <c r="Z251" i="8"/>
  <c r="AM251" i="8" s="1"/>
  <c r="AU251" i="8" s="1"/>
  <c r="T251" i="8"/>
  <c r="Y251" i="8"/>
  <c r="AL251" i="8" s="1"/>
  <c r="S251" i="8"/>
  <c r="R251" i="8"/>
  <c r="U251" i="8"/>
  <c r="DI249" i="8"/>
  <c r="DL249" i="8" s="1"/>
  <c r="DO249" i="8" s="1"/>
  <c r="DR249" i="8" s="1"/>
  <c r="DU249" i="8" s="1"/>
  <c r="AD250" i="8"/>
  <c r="AG250" i="8" s="1"/>
  <c r="AJ250" i="8" s="1"/>
  <c r="AN250" i="8"/>
  <c r="BQ250" i="8" s="1"/>
  <c r="CI250" i="8" s="1"/>
  <c r="BV250" i="8"/>
  <c r="AT250" i="8"/>
  <c r="BU250" i="8"/>
  <c r="AS250" i="8"/>
  <c r="S252" i="8" l="1"/>
  <c r="AA252" i="8"/>
  <c r="R252" i="8"/>
  <c r="Q253" i="8"/>
  <c r="T252" i="8"/>
  <c r="X252" i="8"/>
  <c r="AK252" i="8" s="1"/>
  <c r="Y252" i="8"/>
  <c r="AL252" i="8" s="1"/>
  <c r="V252" i="8"/>
  <c r="AH252" i="8" s="1"/>
  <c r="Z252" i="8"/>
  <c r="AM252" i="8" s="1"/>
  <c r="AU252" i="8" s="1"/>
  <c r="W252" i="8"/>
  <c r="AI252" i="8" s="1"/>
  <c r="U252" i="8"/>
  <c r="DI250" i="8"/>
  <c r="DL250" i="8" s="1"/>
  <c r="DO250" i="8" s="1"/>
  <c r="DR250" i="8" s="1"/>
  <c r="DU250" i="8" s="1"/>
  <c r="AN251" i="8"/>
  <c r="BQ251" i="8" s="1"/>
  <c r="CI251" i="8" s="1"/>
  <c r="AD251" i="8"/>
  <c r="AG251" i="8" s="1"/>
  <c r="AJ251" i="8" s="1"/>
  <c r="AY251" i="8"/>
  <c r="DT251" i="8"/>
  <c r="AX251" i="8"/>
  <c r="DQ251" i="8"/>
  <c r="BV251" i="8"/>
  <c r="AT251" i="8"/>
  <c r="AS251" i="8"/>
  <c r="BU251" i="8"/>
  <c r="S253" i="8" l="1"/>
  <c r="R253" i="8"/>
  <c r="AA253" i="8"/>
  <c r="Q254" i="8"/>
  <c r="X253" i="8"/>
  <c r="AK253" i="8" s="1"/>
  <c r="T253" i="8"/>
  <c r="W253" i="8"/>
  <c r="AI253" i="8" s="1"/>
  <c r="V253" i="8"/>
  <c r="AH253" i="8" s="1"/>
  <c r="Z253" i="8"/>
  <c r="AM253" i="8" s="1"/>
  <c r="AU253" i="8" s="1"/>
  <c r="U253" i="8"/>
  <c r="Y253" i="8"/>
  <c r="AL253" i="8" s="1"/>
  <c r="AX252" i="8"/>
  <c r="DQ252" i="8"/>
  <c r="AD252" i="8"/>
  <c r="AG252" i="8" s="1"/>
  <c r="AJ252" i="8" s="1"/>
  <c r="AN252" i="8"/>
  <c r="BQ252" i="8" s="1"/>
  <c r="CI252" i="8" s="1"/>
  <c r="AY252" i="8"/>
  <c r="DT252" i="8"/>
  <c r="DI251" i="8"/>
  <c r="DL251" i="8" s="1"/>
  <c r="DO251" i="8" s="1"/>
  <c r="DR251" i="8" s="1"/>
  <c r="DU251" i="8" s="1"/>
  <c r="AS252" i="8"/>
  <c r="BU252" i="8"/>
  <c r="BV252" i="8"/>
  <c r="AT252" i="8"/>
  <c r="DQ253" i="8" l="1"/>
  <c r="AX253" i="8"/>
  <c r="W254" i="8"/>
  <c r="AI254" i="8" s="1"/>
  <c r="Y254" i="8"/>
  <c r="AL254" i="8" s="1"/>
  <c r="U254" i="8"/>
  <c r="S254" i="8"/>
  <c r="X254" i="8"/>
  <c r="AK254" i="8" s="1"/>
  <c r="V254" i="8"/>
  <c r="AH254" i="8" s="1"/>
  <c r="Q255" i="8"/>
  <c r="AA254" i="8"/>
  <c r="T254" i="8"/>
  <c r="Z254" i="8"/>
  <c r="AM254" i="8" s="1"/>
  <c r="AU254" i="8" s="1"/>
  <c r="R254" i="8"/>
  <c r="DT253" i="8"/>
  <c r="AY253" i="8"/>
  <c r="AD253" i="8"/>
  <c r="AG253" i="8" s="1"/>
  <c r="AJ253" i="8" s="1"/>
  <c r="AN253" i="8"/>
  <c r="BQ253" i="8" s="1"/>
  <c r="CI253" i="8" s="1"/>
  <c r="DI252" i="8"/>
  <c r="DL252" i="8" s="1"/>
  <c r="DO252" i="8" s="1"/>
  <c r="DR252" i="8" s="1"/>
  <c r="DU252" i="8" s="1"/>
  <c r="AS253" i="8"/>
  <c r="BU253" i="8"/>
  <c r="AT253" i="8"/>
  <c r="BV253" i="8"/>
  <c r="DT254" i="8" l="1"/>
  <c r="AY254" i="8"/>
  <c r="DQ254" i="8"/>
  <c r="AX254" i="8"/>
  <c r="AD254" i="8"/>
  <c r="AG254" i="8" s="1"/>
  <c r="AJ254" i="8" s="1"/>
  <c r="AN254" i="8"/>
  <c r="BQ254" i="8" s="1"/>
  <c r="CI254" i="8" s="1"/>
  <c r="DI253" i="8"/>
  <c r="DL253" i="8" s="1"/>
  <c r="DO253" i="8" s="1"/>
  <c r="DR253" i="8" s="1"/>
  <c r="DU253" i="8" s="1"/>
  <c r="V255" i="8"/>
  <c r="AH255" i="8" s="1"/>
  <c r="AA255" i="8"/>
  <c r="Q256" i="8"/>
  <c r="X255" i="8"/>
  <c r="AK255" i="8" s="1"/>
  <c r="T255" i="8"/>
  <c r="Z255" i="8"/>
  <c r="AM255" i="8" s="1"/>
  <c r="AU255" i="8" s="1"/>
  <c r="R255" i="8"/>
  <c r="Y255" i="8"/>
  <c r="AL255" i="8" s="1"/>
  <c r="U255" i="8"/>
  <c r="W255" i="8"/>
  <c r="AI255" i="8" s="1"/>
  <c r="S255" i="8"/>
  <c r="BU254" i="8"/>
  <c r="AS254" i="8"/>
  <c r="BV254" i="8"/>
  <c r="AT254" i="8"/>
  <c r="DT255" i="8" l="1"/>
  <c r="AY255" i="8"/>
  <c r="DI254" i="8"/>
  <c r="DL254" i="8" s="1"/>
  <c r="DO254" i="8" s="1"/>
  <c r="DR254" i="8" s="1"/>
  <c r="DU254" i="8" s="1"/>
  <c r="W256" i="8"/>
  <c r="AI256" i="8" s="1"/>
  <c r="S256" i="8"/>
  <c r="X256" i="8"/>
  <c r="AK256" i="8" s="1"/>
  <c r="T256" i="8"/>
  <c r="Y256" i="8"/>
  <c r="AL256" i="8" s="1"/>
  <c r="Q257" i="8"/>
  <c r="R256" i="8"/>
  <c r="V256" i="8"/>
  <c r="AH256" i="8" s="1"/>
  <c r="AA256" i="8"/>
  <c r="Z256" i="8"/>
  <c r="AM256" i="8" s="1"/>
  <c r="AU256" i="8" s="1"/>
  <c r="U256" i="8"/>
  <c r="DQ255" i="8"/>
  <c r="AX255" i="8"/>
  <c r="AD255" i="8"/>
  <c r="AG255" i="8" s="1"/>
  <c r="AJ255" i="8" s="1"/>
  <c r="AN255" i="8"/>
  <c r="BQ255" i="8" s="1"/>
  <c r="CI255" i="8" s="1"/>
  <c r="AS255" i="8"/>
  <c r="BU255" i="8"/>
  <c r="AT255" i="8"/>
  <c r="BV255" i="8"/>
  <c r="AA257" i="8" l="1"/>
  <c r="V257" i="8"/>
  <c r="AH257" i="8" s="1"/>
  <c r="Q258" i="8"/>
  <c r="R257" i="8"/>
  <c r="X257" i="8"/>
  <c r="AK257" i="8" s="1"/>
  <c r="U257" i="8"/>
  <c r="Z257" i="8"/>
  <c r="AM257" i="8" s="1"/>
  <c r="AU257" i="8" s="1"/>
  <c r="Y257" i="8"/>
  <c r="AL257" i="8" s="1"/>
  <c r="S257" i="8"/>
  <c r="T257" i="8"/>
  <c r="W257" i="8"/>
  <c r="AI257" i="8" s="1"/>
  <c r="AY256" i="8"/>
  <c r="DT256" i="8"/>
  <c r="AN256" i="8"/>
  <c r="BQ256" i="8" s="1"/>
  <c r="CI256" i="8" s="1"/>
  <c r="AD256" i="8"/>
  <c r="AG256" i="8" s="1"/>
  <c r="AJ256" i="8" s="1"/>
  <c r="AX256" i="8"/>
  <c r="DQ256" i="8"/>
  <c r="DI255" i="8"/>
  <c r="DL255" i="8" s="1"/>
  <c r="DO255" i="8" s="1"/>
  <c r="DR255" i="8" s="1"/>
  <c r="DU255" i="8" s="1"/>
  <c r="BU256" i="8"/>
  <c r="AS256" i="8"/>
  <c r="BV256" i="8"/>
  <c r="AT256" i="8"/>
  <c r="DI256" i="8" l="1"/>
  <c r="DL256" i="8" s="1"/>
  <c r="DO256" i="8" s="1"/>
  <c r="DR256" i="8" s="1"/>
  <c r="DU256" i="8" s="1"/>
  <c r="DQ257" i="8"/>
  <c r="AX257" i="8"/>
  <c r="S258" i="8"/>
  <c r="R258" i="8"/>
  <c r="V258" i="8"/>
  <c r="AH258" i="8" s="1"/>
  <c r="AA258" i="8"/>
  <c r="X258" i="8"/>
  <c r="AK258" i="8" s="1"/>
  <c r="W258" i="8"/>
  <c r="AI258" i="8" s="1"/>
  <c r="U258" i="8"/>
  <c r="Q259" i="8"/>
  <c r="T258" i="8"/>
  <c r="Z258" i="8"/>
  <c r="AM258" i="8" s="1"/>
  <c r="AU258" i="8" s="1"/>
  <c r="Y258" i="8"/>
  <c r="AL258" i="8" s="1"/>
  <c r="AD257" i="8"/>
  <c r="AG257" i="8" s="1"/>
  <c r="AJ257" i="8" s="1"/>
  <c r="AN257" i="8"/>
  <c r="BQ257" i="8" s="1"/>
  <c r="CI257" i="8" s="1"/>
  <c r="AY257" i="8"/>
  <c r="DT257" i="8"/>
  <c r="AS257" i="8"/>
  <c r="BU257" i="8"/>
  <c r="AT257" i="8"/>
  <c r="BV257" i="8"/>
  <c r="DI257" i="8" l="1"/>
  <c r="DL257" i="8" s="1"/>
  <c r="DO257" i="8" s="1"/>
  <c r="DR257" i="8" s="1"/>
  <c r="DU257" i="8" s="1"/>
  <c r="W259" i="8"/>
  <c r="AI259" i="8" s="1"/>
  <c r="AA259" i="8"/>
  <c r="Z259" i="8"/>
  <c r="AM259" i="8" s="1"/>
  <c r="AU259" i="8" s="1"/>
  <c r="U259" i="8"/>
  <c r="X259" i="8"/>
  <c r="AK259" i="8" s="1"/>
  <c r="S259" i="8"/>
  <c r="T259" i="8"/>
  <c r="Q260" i="8"/>
  <c r="V259" i="8"/>
  <c r="AH259" i="8" s="1"/>
  <c r="Y259" i="8"/>
  <c r="AL259" i="8" s="1"/>
  <c r="R259" i="8"/>
  <c r="AX258" i="8"/>
  <c r="DQ258" i="8"/>
  <c r="AD258" i="8"/>
  <c r="AG258" i="8" s="1"/>
  <c r="AJ258" i="8" s="1"/>
  <c r="AN258" i="8"/>
  <c r="BQ258" i="8" s="1"/>
  <c r="CI258" i="8" s="1"/>
  <c r="AY258" i="8"/>
  <c r="DT258" i="8"/>
  <c r="BV258" i="8"/>
  <c r="AT258" i="8"/>
  <c r="AS258" i="8"/>
  <c r="BU258" i="8"/>
  <c r="AY259" i="8" l="1"/>
  <c r="DT259" i="8"/>
  <c r="AN259" i="8"/>
  <c r="BQ259" i="8" s="1"/>
  <c r="CI259" i="8" s="1"/>
  <c r="AD259" i="8"/>
  <c r="AG259" i="8" s="1"/>
  <c r="AJ259" i="8" s="1"/>
  <c r="DQ259" i="8"/>
  <c r="AX259" i="8"/>
  <c r="DI258" i="8"/>
  <c r="DL258" i="8" s="1"/>
  <c r="DO258" i="8" s="1"/>
  <c r="DR258" i="8" s="1"/>
  <c r="DU258" i="8" s="1"/>
  <c r="W260" i="8"/>
  <c r="AI260" i="8" s="1"/>
  <c r="S260" i="8"/>
  <c r="U260" i="8"/>
  <c r="X260" i="8"/>
  <c r="AK260" i="8" s="1"/>
  <c r="Q261" i="8"/>
  <c r="V260" i="8"/>
  <c r="AH260" i="8" s="1"/>
  <c r="R260" i="8"/>
  <c r="AA260" i="8"/>
  <c r="Z260" i="8"/>
  <c r="AM260" i="8" s="1"/>
  <c r="AU260" i="8" s="1"/>
  <c r="T260" i="8"/>
  <c r="Y260" i="8"/>
  <c r="AL260" i="8" s="1"/>
  <c r="BV259" i="8"/>
  <c r="AT259" i="8"/>
  <c r="BU259" i="8"/>
  <c r="AS259" i="8"/>
  <c r="DI259" i="8" l="1"/>
  <c r="DL259" i="8" s="1"/>
  <c r="DO259" i="8" s="1"/>
  <c r="DR259" i="8" s="1"/>
  <c r="DU259" i="8" s="1"/>
  <c r="AX260" i="8"/>
  <c r="DQ260" i="8"/>
  <c r="AN260" i="8"/>
  <c r="BQ260" i="8" s="1"/>
  <c r="CI260" i="8" s="1"/>
  <c r="AD260" i="8"/>
  <c r="AG260" i="8" s="1"/>
  <c r="AJ260" i="8" s="1"/>
  <c r="Y261" i="8"/>
  <c r="AL261" i="8" s="1"/>
  <c r="X261" i="8"/>
  <c r="AK261" i="8" s="1"/>
  <c r="AA261" i="8"/>
  <c r="T261" i="8"/>
  <c r="S261" i="8"/>
  <c r="W261" i="8"/>
  <c r="AI261" i="8" s="1"/>
  <c r="R261" i="8"/>
  <c r="V261" i="8"/>
  <c r="AH261" i="8" s="1"/>
  <c r="Z261" i="8"/>
  <c r="AM261" i="8" s="1"/>
  <c r="AU261" i="8" s="1"/>
  <c r="U261" i="8"/>
  <c r="Q262" i="8"/>
  <c r="AY260" i="8"/>
  <c r="DT260" i="8"/>
  <c r="AS260" i="8"/>
  <c r="BU260" i="8"/>
  <c r="BV260" i="8"/>
  <c r="AT260" i="8"/>
  <c r="DI260" i="8" l="1"/>
  <c r="DL260" i="8" s="1"/>
  <c r="DO260" i="8" s="1"/>
  <c r="DR260" i="8" s="1"/>
  <c r="DU260" i="8" s="1"/>
  <c r="Y262" i="8"/>
  <c r="AL262" i="8" s="1"/>
  <c r="R262" i="8"/>
  <c r="AA262" i="8"/>
  <c r="Z262" i="8"/>
  <c r="AM262" i="8" s="1"/>
  <c r="AU262" i="8" s="1"/>
  <c r="W262" i="8"/>
  <c r="AI262" i="8" s="1"/>
  <c r="S262" i="8"/>
  <c r="U262" i="8"/>
  <c r="T262" i="8"/>
  <c r="Q263" i="8"/>
  <c r="X262" i="8"/>
  <c r="AK262" i="8" s="1"/>
  <c r="V262" i="8"/>
  <c r="AH262" i="8" s="1"/>
  <c r="AD261" i="8"/>
  <c r="AG261" i="8" s="1"/>
  <c r="AJ261" i="8" s="1"/>
  <c r="AN261" i="8"/>
  <c r="BQ261" i="8" s="1"/>
  <c r="CI261" i="8" s="1"/>
  <c r="DT261" i="8"/>
  <c r="AY261" i="8"/>
  <c r="DQ261" i="8"/>
  <c r="AX261" i="8"/>
  <c r="BV261" i="8"/>
  <c r="AT261" i="8"/>
  <c r="BU261" i="8"/>
  <c r="AS261" i="8"/>
  <c r="DI261" i="8" l="1"/>
  <c r="DL261" i="8" s="1"/>
  <c r="DO261" i="8" s="1"/>
  <c r="DR261" i="8" s="1"/>
  <c r="DU261" i="8" s="1"/>
  <c r="DQ262" i="8"/>
  <c r="AX262" i="8"/>
  <c r="AN262" i="8"/>
  <c r="BQ262" i="8" s="1"/>
  <c r="CI262" i="8" s="1"/>
  <c r="AD262" i="8"/>
  <c r="AG262" i="8" s="1"/>
  <c r="AJ262" i="8" s="1"/>
  <c r="R263" i="8"/>
  <c r="T263" i="8"/>
  <c r="Z263" i="8"/>
  <c r="AM263" i="8" s="1"/>
  <c r="AU263" i="8" s="1"/>
  <c r="Q264" i="8"/>
  <c r="V263" i="8"/>
  <c r="AH263" i="8" s="1"/>
  <c r="W263" i="8"/>
  <c r="AI263" i="8" s="1"/>
  <c r="AA263" i="8"/>
  <c r="X263" i="8"/>
  <c r="AK263" i="8" s="1"/>
  <c r="Y263" i="8"/>
  <c r="AL263" i="8" s="1"/>
  <c r="U263" i="8"/>
  <c r="S263" i="8"/>
  <c r="AY262" i="8"/>
  <c r="DT262" i="8"/>
  <c r="BV262" i="8"/>
  <c r="AT262" i="8"/>
  <c r="BU262" i="8"/>
  <c r="AS262" i="8"/>
  <c r="AA264" i="8" l="1"/>
  <c r="X264" i="8"/>
  <c r="AK264" i="8" s="1"/>
  <c r="Q265" i="8"/>
  <c r="R264" i="8"/>
  <c r="Y264" i="8"/>
  <c r="AL264" i="8" s="1"/>
  <c r="V264" i="8"/>
  <c r="AH264" i="8" s="1"/>
  <c r="Z264" i="8"/>
  <c r="AM264" i="8" s="1"/>
  <c r="AU264" i="8" s="1"/>
  <c r="W264" i="8"/>
  <c r="AI264" i="8" s="1"/>
  <c r="U264" i="8"/>
  <c r="S264" i="8"/>
  <c r="T264" i="8"/>
  <c r="AY263" i="8"/>
  <c r="DT263" i="8"/>
  <c r="AN263" i="8"/>
  <c r="BQ263" i="8" s="1"/>
  <c r="CI263" i="8" s="1"/>
  <c r="AD263" i="8"/>
  <c r="AG263" i="8" s="1"/>
  <c r="AJ263" i="8" s="1"/>
  <c r="DI262" i="8"/>
  <c r="DL262" i="8" s="1"/>
  <c r="DO262" i="8" s="1"/>
  <c r="DR262" i="8" s="1"/>
  <c r="DU262" i="8" s="1"/>
  <c r="DQ263" i="8"/>
  <c r="AX263" i="8"/>
  <c r="AT263" i="8"/>
  <c r="BV263" i="8"/>
  <c r="BU263" i="8"/>
  <c r="AS263" i="8"/>
  <c r="DQ264" i="8" l="1"/>
  <c r="AX264" i="8"/>
  <c r="DI263" i="8"/>
  <c r="DL263" i="8" s="1"/>
  <c r="DO263" i="8" s="1"/>
  <c r="DR263" i="8" s="1"/>
  <c r="DU263" i="8" s="1"/>
  <c r="AY264" i="8"/>
  <c r="DT264" i="8"/>
  <c r="Y265" i="8"/>
  <c r="AL265" i="8" s="1"/>
  <c r="V265" i="8"/>
  <c r="AH265" i="8" s="1"/>
  <c r="W265" i="8"/>
  <c r="AI265" i="8" s="1"/>
  <c r="R265" i="8"/>
  <c r="Z265" i="8"/>
  <c r="AM265" i="8" s="1"/>
  <c r="AU265" i="8" s="1"/>
  <c r="S265" i="8"/>
  <c r="U265" i="8"/>
  <c r="AA265" i="8"/>
  <c r="T265" i="8"/>
  <c r="Q266" i="8"/>
  <c r="X265" i="8"/>
  <c r="AK265" i="8" s="1"/>
  <c r="AN264" i="8"/>
  <c r="BQ264" i="8" s="1"/>
  <c r="CI264" i="8" s="1"/>
  <c r="AD264" i="8"/>
  <c r="AG264" i="8" s="1"/>
  <c r="AJ264" i="8" s="1"/>
  <c r="AT264" i="8"/>
  <c r="BV264" i="8"/>
  <c r="AS264" i="8"/>
  <c r="BU264" i="8"/>
  <c r="DI264" i="8" l="1"/>
  <c r="DL264" i="8" s="1"/>
  <c r="DO264" i="8" s="1"/>
  <c r="DR264" i="8" s="1"/>
  <c r="DU264" i="8" s="1"/>
  <c r="DT265" i="8"/>
  <c r="AY265" i="8"/>
  <c r="AD265" i="8"/>
  <c r="AG265" i="8" s="1"/>
  <c r="AJ265" i="8" s="1"/>
  <c r="AN265" i="8"/>
  <c r="BQ265" i="8" s="1"/>
  <c r="CI265" i="8" s="1"/>
  <c r="AX265" i="8"/>
  <c r="DQ265" i="8"/>
  <c r="AA266" i="8"/>
  <c r="R266" i="8"/>
  <c r="Q267" i="8"/>
  <c r="X266" i="8"/>
  <c r="AK266" i="8" s="1"/>
  <c r="V266" i="8"/>
  <c r="AH266" i="8" s="1"/>
  <c r="Y266" i="8"/>
  <c r="AL266" i="8" s="1"/>
  <c r="T266" i="8"/>
  <c r="W266" i="8"/>
  <c r="AI266" i="8" s="1"/>
  <c r="Z266" i="8"/>
  <c r="AM266" i="8" s="1"/>
  <c r="AU266" i="8" s="1"/>
  <c r="S266" i="8"/>
  <c r="U266" i="8"/>
  <c r="AS265" i="8"/>
  <c r="BU265" i="8"/>
  <c r="BV265" i="8"/>
  <c r="AT265" i="8"/>
  <c r="DT266" i="8" l="1"/>
  <c r="AY266" i="8"/>
  <c r="Y267" i="8"/>
  <c r="AL267" i="8" s="1"/>
  <c r="V267" i="8"/>
  <c r="AH267" i="8" s="1"/>
  <c r="Z267" i="8"/>
  <c r="AM267" i="8" s="1"/>
  <c r="AU267" i="8" s="1"/>
  <c r="U267" i="8"/>
  <c r="W267" i="8"/>
  <c r="AI267" i="8" s="1"/>
  <c r="S267" i="8"/>
  <c r="R267" i="8"/>
  <c r="AA267" i="8"/>
  <c r="T267" i="8"/>
  <c r="Q268" i="8"/>
  <c r="X267" i="8"/>
  <c r="AK267" i="8" s="1"/>
  <c r="AN266" i="8"/>
  <c r="BQ266" i="8" s="1"/>
  <c r="CI266" i="8" s="1"/>
  <c r="AD266" i="8"/>
  <c r="AG266" i="8" s="1"/>
  <c r="AJ266" i="8" s="1"/>
  <c r="DQ266" i="8"/>
  <c r="AX266" i="8"/>
  <c r="DI265" i="8"/>
  <c r="DL265" i="8" s="1"/>
  <c r="DO265" i="8" s="1"/>
  <c r="DR265" i="8" s="1"/>
  <c r="DU265" i="8" s="1"/>
  <c r="AS266" i="8"/>
  <c r="BU266" i="8"/>
  <c r="AT266" i="8"/>
  <c r="BV266" i="8"/>
  <c r="DI266" i="8" l="1"/>
  <c r="DL266" i="8" s="1"/>
  <c r="DO266" i="8" s="1"/>
  <c r="DR266" i="8" s="1"/>
  <c r="DU266" i="8" s="1"/>
  <c r="AX267" i="8"/>
  <c r="DQ267" i="8"/>
  <c r="Q269" i="8"/>
  <c r="R268" i="8"/>
  <c r="Y268" i="8"/>
  <c r="AL268" i="8" s="1"/>
  <c r="X268" i="8"/>
  <c r="AK268" i="8" s="1"/>
  <c r="AA268" i="8"/>
  <c r="V268" i="8"/>
  <c r="AH268" i="8" s="1"/>
  <c r="Z268" i="8"/>
  <c r="AM268" i="8" s="1"/>
  <c r="AU268" i="8" s="1"/>
  <c r="T268" i="8"/>
  <c r="U268" i="8"/>
  <c r="S268" i="8"/>
  <c r="W268" i="8"/>
  <c r="AI268" i="8" s="1"/>
  <c r="AY267" i="8"/>
  <c r="DT267" i="8"/>
  <c r="AN267" i="8"/>
  <c r="BQ267" i="8" s="1"/>
  <c r="CI267" i="8" s="1"/>
  <c r="AD267" i="8"/>
  <c r="AG267" i="8" s="1"/>
  <c r="AJ267" i="8" s="1"/>
  <c r="BV267" i="8"/>
  <c r="AT267" i="8"/>
  <c r="BU267" i="8"/>
  <c r="AS267" i="8"/>
  <c r="AY268" i="8" l="1"/>
  <c r="DT268" i="8"/>
  <c r="AA269" i="8"/>
  <c r="T269" i="8"/>
  <c r="V269" i="8"/>
  <c r="AH269" i="8" s="1"/>
  <c r="Y269" i="8"/>
  <c r="AL269" i="8" s="1"/>
  <c r="U269" i="8"/>
  <c r="Z269" i="8"/>
  <c r="AM269" i="8" s="1"/>
  <c r="AU269" i="8" s="1"/>
  <c r="Q270" i="8"/>
  <c r="X269" i="8"/>
  <c r="AK269" i="8" s="1"/>
  <c r="W269" i="8"/>
  <c r="AI269" i="8" s="1"/>
  <c r="S269" i="8"/>
  <c r="R269" i="8"/>
  <c r="DQ268" i="8"/>
  <c r="AX268" i="8"/>
  <c r="DI267" i="8"/>
  <c r="DL267" i="8" s="1"/>
  <c r="DO267" i="8" s="1"/>
  <c r="DR267" i="8" s="1"/>
  <c r="DU267" i="8" s="1"/>
  <c r="AD268" i="8"/>
  <c r="AG268" i="8" s="1"/>
  <c r="AJ268" i="8" s="1"/>
  <c r="AN268" i="8"/>
  <c r="BQ268" i="8" s="1"/>
  <c r="CI268" i="8" s="1"/>
  <c r="AS268" i="8"/>
  <c r="BU268" i="8"/>
  <c r="BV268" i="8"/>
  <c r="AT268" i="8"/>
  <c r="DQ269" i="8" l="1"/>
  <c r="AX269" i="8"/>
  <c r="AN269" i="8"/>
  <c r="BQ269" i="8" s="1"/>
  <c r="CI269" i="8" s="1"/>
  <c r="AD269" i="8"/>
  <c r="AG269" i="8" s="1"/>
  <c r="AJ269" i="8" s="1"/>
  <c r="DI268" i="8"/>
  <c r="DL268" i="8" s="1"/>
  <c r="DO268" i="8" s="1"/>
  <c r="DR268" i="8" s="1"/>
  <c r="DU268" i="8" s="1"/>
  <c r="U270" i="8"/>
  <c r="W270" i="8"/>
  <c r="AI270" i="8" s="1"/>
  <c r="S270" i="8"/>
  <c r="V270" i="8"/>
  <c r="AH270" i="8" s="1"/>
  <c r="X270" i="8"/>
  <c r="AK270" i="8" s="1"/>
  <c r="T270" i="8"/>
  <c r="R270" i="8"/>
  <c r="Q271" i="8"/>
  <c r="AA270" i="8"/>
  <c r="Z270" i="8"/>
  <c r="AM270" i="8" s="1"/>
  <c r="AU270" i="8" s="1"/>
  <c r="Y270" i="8"/>
  <c r="AL270" i="8" s="1"/>
  <c r="AY269" i="8"/>
  <c r="DT269" i="8"/>
  <c r="AT269" i="8"/>
  <c r="BV269" i="8"/>
  <c r="BU269" i="8"/>
  <c r="AS269" i="8"/>
  <c r="AD270" i="8" l="1"/>
  <c r="AG270" i="8" s="1"/>
  <c r="AJ270" i="8" s="1"/>
  <c r="AN270" i="8"/>
  <c r="BQ270" i="8" s="1"/>
  <c r="CI270" i="8" s="1"/>
  <c r="DI269" i="8"/>
  <c r="DL269" i="8" s="1"/>
  <c r="DO269" i="8" s="1"/>
  <c r="DR269" i="8" s="1"/>
  <c r="DU269" i="8" s="1"/>
  <c r="Z271" i="8"/>
  <c r="AM271" i="8" s="1"/>
  <c r="AU271" i="8" s="1"/>
  <c r="V271" i="8"/>
  <c r="AH271" i="8" s="1"/>
  <c r="W271" i="8"/>
  <c r="AI271" i="8" s="1"/>
  <c r="AA271" i="8"/>
  <c r="T271" i="8"/>
  <c r="Y271" i="8"/>
  <c r="AL271" i="8" s="1"/>
  <c r="S271" i="8"/>
  <c r="U271" i="8"/>
  <c r="X271" i="8"/>
  <c r="AK271" i="8" s="1"/>
  <c r="R271" i="8"/>
  <c r="Q272" i="8"/>
  <c r="AY270" i="8"/>
  <c r="DT270" i="8"/>
  <c r="AX270" i="8"/>
  <c r="DQ270" i="8"/>
  <c r="BV270" i="8"/>
  <c r="AT270" i="8"/>
  <c r="BU270" i="8"/>
  <c r="AS270" i="8"/>
  <c r="AY271" i="8" l="1"/>
  <c r="DT271" i="8"/>
  <c r="AN271" i="8"/>
  <c r="BQ271" i="8" s="1"/>
  <c r="CI271" i="8" s="1"/>
  <c r="AD271" i="8"/>
  <c r="AG271" i="8" s="1"/>
  <c r="AJ271" i="8" s="1"/>
  <c r="DI270" i="8"/>
  <c r="DL270" i="8" s="1"/>
  <c r="DO270" i="8" s="1"/>
  <c r="DR270" i="8" s="1"/>
  <c r="DU270" i="8" s="1"/>
  <c r="Y272" i="8"/>
  <c r="AL272" i="8" s="1"/>
  <c r="X272" i="8"/>
  <c r="AK272" i="8" s="1"/>
  <c r="R272" i="8"/>
  <c r="AA272" i="8"/>
  <c r="T272" i="8"/>
  <c r="Z272" i="8"/>
  <c r="AM272" i="8" s="1"/>
  <c r="AU272" i="8" s="1"/>
  <c r="U272" i="8"/>
  <c r="W272" i="8"/>
  <c r="AI272" i="8" s="1"/>
  <c r="S272" i="8"/>
  <c r="V272" i="8"/>
  <c r="AH272" i="8" s="1"/>
  <c r="Q273" i="8"/>
  <c r="AX271" i="8"/>
  <c r="DQ271" i="8"/>
  <c r="AS271" i="8"/>
  <c r="BU271" i="8"/>
  <c r="AT271" i="8"/>
  <c r="BV271" i="8"/>
  <c r="AX272" i="8" l="1"/>
  <c r="DQ272" i="8"/>
  <c r="AD272" i="8"/>
  <c r="AG272" i="8" s="1"/>
  <c r="AJ272" i="8" s="1"/>
  <c r="AN272" i="8"/>
  <c r="BQ272" i="8" s="1"/>
  <c r="CI272" i="8" s="1"/>
  <c r="DI271" i="8"/>
  <c r="DL271" i="8" s="1"/>
  <c r="DO271" i="8" s="1"/>
  <c r="DR271" i="8" s="1"/>
  <c r="DU271" i="8" s="1"/>
  <c r="U273" i="8"/>
  <c r="Q274" i="8"/>
  <c r="T273" i="8"/>
  <c r="R273" i="8"/>
  <c r="S273" i="8"/>
  <c r="X273" i="8"/>
  <c r="AK273" i="8" s="1"/>
  <c r="V273" i="8"/>
  <c r="AH273" i="8" s="1"/>
  <c r="Z273" i="8"/>
  <c r="AM273" i="8" s="1"/>
  <c r="AU273" i="8" s="1"/>
  <c r="Y273" i="8"/>
  <c r="AL273" i="8" s="1"/>
  <c r="AA273" i="8"/>
  <c r="W273" i="8"/>
  <c r="AI273" i="8" s="1"/>
  <c r="DT272" i="8"/>
  <c r="AY272" i="8"/>
  <c r="AS272" i="8"/>
  <c r="BU272" i="8"/>
  <c r="AT272" i="8"/>
  <c r="BV272" i="8"/>
  <c r="DI272" i="8" l="1"/>
  <c r="DL272" i="8" s="1"/>
  <c r="DO272" i="8" s="1"/>
  <c r="DR272" i="8" s="1"/>
  <c r="DU272" i="8" s="1"/>
  <c r="AX273" i="8"/>
  <c r="DQ273" i="8"/>
  <c r="AD273" i="8"/>
  <c r="AG273" i="8" s="1"/>
  <c r="AJ273" i="8" s="1"/>
  <c r="AN273" i="8"/>
  <c r="BQ273" i="8" s="1"/>
  <c r="CI273" i="8" s="1"/>
  <c r="R274" i="8"/>
  <c r="Q275" i="8"/>
  <c r="AA274" i="8"/>
  <c r="X274" i="8"/>
  <c r="AK274" i="8" s="1"/>
  <c r="V274" i="8"/>
  <c r="AH274" i="8" s="1"/>
  <c r="Z274" i="8"/>
  <c r="AM274" i="8" s="1"/>
  <c r="AU274" i="8" s="1"/>
  <c r="T274" i="8"/>
  <c r="S274" i="8"/>
  <c r="W274" i="8"/>
  <c r="AI274" i="8" s="1"/>
  <c r="U274" i="8"/>
  <c r="Y274" i="8"/>
  <c r="AL274" i="8" s="1"/>
  <c r="DT273" i="8"/>
  <c r="AY273" i="8"/>
  <c r="AT273" i="8"/>
  <c r="BV273" i="8"/>
  <c r="BU273" i="8"/>
  <c r="AS273" i="8"/>
  <c r="DT274" i="8" l="1"/>
  <c r="AY274" i="8"/>
  <c r="AN274" i="8"/>
  <c r="BQ274" i="8" s="1"/>
  <c r="CI274" i="8" s="1"/>
  <c r="AD274" i="8"/>
  <c r="AG274" i="8" s="1"/>
  <c r="AJ274" i="8" s="1"/>
  <c r="AA275" i="8"/>
  <c r="R275" i="8"/>
  <c r="T275" i="8"/>
  <c r="Z275" i="8"/>
  <c r="AM275" i="8" s="1"/>
  <c r="AU275" i="8" s="1"/>
  <c r="X275" i="8"/>
  <c r="AK275" i="8" s="1"/>
  <c r="Y275" i="8"/>
  <c r="AL275" i="8" s="1"/>
  <c r="S275" i="8"/>
  <c r="W275" i="8"/>
  <c r="AI275" i="8" s="1"/>
  <c r="U275" i="8"/>
  <c r="Q276" i="8"/>
  <c r="V275" i="8"/>
  <c r="AH275" i="8" s="1"/>
  <c r="DI273" i="8"/>
  <c r="DL273" i="8" s="1"/>
  <c r="DO273" i="8" s="1"/>
  <c r="DR273" i="8" s="1"/>
  <c r="DU273" i="8" s="1"/>
  <c r="DQ274" i="8"/>
  <c r="AX274" i="8"/>
  <c r="BV274" i="8"/>
  <c r="AT274" i="8"/>
  <c r="BU274" i="8"/>
  <c r="AS274" i="8"/>
  <c r="AD275" i="8" l="1"/>
  <c r="AG275" i="8" s="1"/>
  <c r="AJ275" i="8" s="1"/>
  <c r="AN275" i="8"/>
  <c r="BQ275" i="8" s="1"/>
  <c r="CI275" i="8" s="1"/>
  <c r="DQ275" i="8"/>
  <c r="AX275" i="8"/>
  <c r="DT275" i="8"/>
  <c r="AY275" i="8"/>
  <c r="DI274" i="8"/>
  <c r="DL274" i="8" s="1"/>
  <c r="DO274" i="8" s="1"/>
  <c r="DR274" i="8" s="1"/>
  <c r="DU274" i="8" s="1"/>
  <c r="S276" i="8"/>
  <c r="X276" i="8"/>
  <c r="AK276" i="8" s="1"/>
  <c r="V276" i="8"/>
  <c r="AH276" i="8" s="1"/>
  <c r="Y276" i="8"/>
  <c r="AL276" i="8" s="1"/>
  <c r="AA276" i="8"/>
  <c r="R276" i="8"/>
  <c r="Q277" i="8"/>
  <c r="T276" i="8"/>
  <c r="Z276" i="8"/>
  <c r="AM276" i="8" s="1"/>
  <c r="AU276" i="8" s="1"/>
  <c r="W276" i="8"/>
  <c r="AI276" i="8" s="1"/>
  <c r="U276" i="8"/>
  <c r="AT275" i="8"/>
  <c r="BV275" i="8"/>
  <c r="AS275" i="8"/>
  <c r="BU275" i="8"/>
  <c r="AY276" i="8" l="1"/>
  <c r="DT276" i="8"/>
  <c r="AX276" i="8"/>
  <c r="DQ276" i="8"/>
  <c r="DI275" i="8"/>
  <c r="DL275" i="8" s="1"/>
  <c r="DO275" i="8" s="1"/>
  <c r="DR275" i="8" s="1"/>
  <c r="DU275" i="8" s="1"/>
  <c r="R277" i="8"/>
  <c r="Q278" i="8"/>
  <c r="V277" i="8"/>
  <c r="AH277" i="8" s="1"/>
  <c r="AA277" i="8"/>
  <c r="T277" i="8"/>
  <c r="Z277" i="8"/>
  <c r="AM277" i="8" s="1"/>
  <c r="AU277" i="8" s="1"/>
  <c r="X277" i="8"/>
  <c r="AK277" i="8" s="1"/>
  <c r="W277" i="8"/>
  <c r="AI277" i="8" s="1"/>
  <c r="U277" i="8"/>
  <c r="Y277" i="8"/>
  <c r="AL277" i="8" s="1"/>
  <c r="S277" i="8"/>
  <c r="AN276" i="8"/>
  <c r="BQ276" i="8" s="1"/>
  <c r="CI276" i="8" s="1"/>
  <c r="AD276" i="8"/>
  <c r="AG276" i="8" s="1"/>
  <c r="AJ276" i="8" s="1"/>
  <c r="AT276" i="8"/>
  <c r="BV276" i="8"/>
  <c r="AS276" i="8"/>
  <c r="BU276" i="8"/>
  <c r="AN277" i="8" l="1"/>
  <c r="BQ277" i="8" s="1"/>
  <c r="CI277" i="8" s="1"/>
  <c r="AD277" i="8"/>
  <c r="AG277" i="8" s="1"/>
  <c r="AJ277" i="8" s="1"/>
  <c r="DT277" i="8"/>
  <c r="AY277" i="8"/>
  <c r="V278" i="8"/>
  <c r="AH278" i="8" s="1"/>
  <c r="Q279" i="8"/>
  <c r="X278" i="8"/>
  <c r="AK278" i="8" s="1"/>
  <c r="AA278" i="8"/>
  <c r="R278" i="8"/>
  <c r="Y278" i="8"/>
  <c r="AL278" i="8" s="1"/>
  <c r="Z278" i="8"/>
  <c r="AM278" i="8" s="1"/>
  <c r="AU278" i="8" s="1"/>
  <c r="W278" i="8"/>
  <c r="AI278" i="8" s="1"/>
  <c r="S278" i="8"/>
  <c r="AX277" i="8"/>
  <c r="DQ277" i="8"/>
  <c r="DI276" i="8"/>
  <c r="DL276" i="8" s="1"/>
  <c r="DO276" i="8" s="1"/>
  <c r="DR276" i="8" s="1"/>
  <c r="DU276" i="8" s="1"/>
  <c r="BV277" i="8"/>
  <c r="AT277" i="8"/>
  <c r="AS277" i="8"/>
  <c r="BU277" i="8"/>
  <c r="AY278" i="8" l="1"/>
  <c r="DT278" i="8"/>
  <c r="AD278" i="8"/>
  <c r="AG278" i="8" s="1"/>
  <c r="AJ278" i="8" s="1"/>
  <c r="AN278" i="8"/>
  <c r="BQ278" i="8" s="1"/>
  <c r="CI278" i="8" s="1"/>
  <c r="DI277" i="8"/>
  <c r="DL277" i="8" s="1"/>
  <c r="DO277" i="8" s="1"/>
  <c r="DR277" i="8" s="1"/>
  <c r="DU277" i="8" s="1"/>
  <c r="AX278" i="8"/>
  <c r="DQ278" i="8"/>
  <c r="V279" i="8"/>
  <c r="AH279" i="8" s="1"/>
  <c r="X279" i="8"/>
  <c r="AK279" i="8" s="1"/>
  <c r="T279" i="8"/>
  <c r="W279" i="8"/>
  <c r="AI279" i="8" s="1"/>
  <c r="AA279" i="8"/>
  <c r="R279" i="8"/>
  <c r="Z279" i="8"/>
  <c r="AM279" i="8" s="1"/>
  <c r="AU279" i="8" s="1"/>
  <c r="U279" i="8"/>
  <c r="Y279" i="8"/>
  <c r="AL279" i="8" s="1"/>
  <c r="S279" i="8"/>
  <c r="Q280" i="8"/>
  <c r="AS278" i="8"/>
  <c r="BU278" i="8"/>
  <c r="AT278" i="8"/>
  <c r="BV278" i="8"/>
  <c r="DI278" i="8" l="1"/>
  <c r="DL278" i="8" s="1"/>
  <c r="DO278" i="8" s="1"/>
  <c r="DR278" i="8" s="1"/>
  <c r="DU278" i="8" s="1"/>
  <c r="DT279" i="8"/>
  <c r="AY279" i="8"/>
  <c r="AD279" i="8"/>
  <c r="AG279" i="8" s="1"/>
  <c r="AJ279" i="8" s="1"/>
  <c r="AN279" i="8"/>
  <c r="BQ279" i="8" s="1"/>
  <c r="CI279" i="8" s="1"/>
  <c r="AX279" i="8"/>
  <c r="DQ279" i="8"/>
  <c r="Q281" i="8"/>
  <c r="X280" i="8"/>
  <c r="AK280" i="8" s="1"/>
  <c r="AA280" i="8"/>
  <c r="R280" i="8"/>
  <c r="Y280" i="8"/>
  <c r="AL280" i="8" s="1"/>
  <c r="U280" i="8"/>
  <c r="S280" i="8"/>
  <c r="W280" i="8"/>
  <c r="AI280" i="8" s="1"/>
  <c r="Z280" i="8"/>
  <c r="AM280" i="8" s="1"/>
  <c r="AU280" i="8" s="1"/>
  <c r="T280" i="8"/>
  <c r="V280" i="8"/>
  <c r="AH280" i="8" s="1"/>
  <c r="BV279" i="8"/>
  <c r="AT279" i="8"/>
  <c r="BU279" i="8"/>
  <c r="AS279" i="8"/>
  <c r="AX280" i="8" l="1"/>
  <c r="DQ280" i="8"/>
  <c r="AY280" i="8"/>
  <c r="DT280" i="8"/>
  <c r="DI279" i="8"/>
  <c r="DL279" i="8" s="1"/>
  <c r="DO279" i="8" s="1"/>
  <c r="DR279" i="8" s="1"/>
  <c r="DU279" i="8" s="1"/>
  <c r="AN280" i="8"/>
  <c r="BQ280" i="8" s="1"/>
  <c r="CI280" i="8" s="1"/>
  <c r="AD280" i="8"/>
  <c r="AG280" i="8" s="1"/>
  <c r="AJ280" i="8" s="1"/>
  <c r="AA281" i="8"/>
  <c r="X281" i="8"/>
  <c r="AK281" i="8" s="1"/>
  <c r="Z281" i="8"/>
  <c r="AM281" i="8" s="1"/>
  <c r="AU281" i="8" s="1"/>
  <c r="T281" i="8"/>
  <c r="R281" i="8"/>
  <c r="Y281" i="8"/>
  <c r="AL281" i="8" s="1"/>
  <c r="W281" i="8"/>
  <c r="AI281" i="8" s="1"/>
  <c r="S281" i="8"/>
  <c r="V281" i="8"/>
  <c r="AH281" i="8" s="1"/>
  <c r="Q282" i="8"/>
  <c r="U281" i="8"/>
  <c r="AT280" i="8"/>
  <c r="BV280" i="8"/>
  <c r="AS280" i="8"/>
  <c r="BU280" i="8"/>
  <c r="AN281" i="8" l="1"/>
  <c r="BQ281" i="8" s="1"/>
  <c r="CI281" i="8" s="1"/>
  <c r="AD281" i="8"/>
  <c r="AG281" i="8" s="1"/>
  <c r="AJ281" i="8" s="1"/>
  <c r="AX281" i="8"/>
  <c r="DQ281" i="8"/>
  <c r="DI280" i="8"/>
  <c r="DL280" i="8" s="1"/>
  <c r="DO280" i="8" s="1"/>
  <c r="DR280" i="8" s="1"/>
  <c r="DU280" i="8" s="1"/>
  <c r="AY281" i="8"/>
  <c r="DT281" i="8"/>
  <c r="W282" i="8"/>
  <c r="AI282" i="8" s="1"/>
  <c r="Q283" i="8"/>
  <c r="X282" i="8"/>
  <c r="AK282" i="8" s="1"/>
  <c r="R282" i="8"/>
  <c r="AA282" i="8"/>
  <c r="T282" i="8"/>
  <c r="Z282" i="8"/>
  <c r="AM282" i="8" s="1"/>
  <c r="AU282" i="8" s="1"/>
  <c r="V282" i="8"/>
  <c r="AH282" i="8" s="1"/>
  <c r="Y282" i="8"/>
  <c r="AL282" i="8" s="1"/>
  <c r="S282" i="8"/>
  <c r="U282" i="8"/>
  <c r="AT281" i="8"/>
  <c r="BV281" i="8"/>
  <c r="BU281" i="8"/>
  <c r="AS281" i="8"/>
  <c r="AN282" i="8" l="1"/>
  <c r="BQ282" i="8" s="1"/>
  <c r="CI282" i="8" s="1"/>
  <c r="AD282" i="8"/>
  <c r="AG282" i="8" s="1"/>
  <c r="AJ282" i="8" s="1"/>
  <c r="Y283" i="8"/>
  <c r="AL283" i="8" s="1"/>
  <c r="V283" i="8"/>
  <c r="AH283" i="8" s="1"/>
  <c r="W283" i="8"/>
  <c r="AI283" i="8" s="1"/>
  <c r="S283" i="8"/>
  <c r="Z283" i="8"/>
  <c r="AM283" i="8" s="1"/>
  <c r="AU283" i="8" s="1"/>
  <c r="U283" i="8"/>
  <c r="AA283" i="8"/>
  <c r="R283" i="8"/>
  <c r="Q284" i="8"/>
  <c r="X283" i="8"/>
  <c r="AK283" i="8" s="1"/>
  <c r="T283" i="8"/>
  <c r="AY282" i="8"/>
  <c r="DT282" i="8"/>
  <c r="AX282" i="8"/>
  <c r="DQ282" i="8"/>
  <c r="DI281" i="8"/>
  <c r="DL281" i="8" s="1"/>
  <c r="DO281" i="8" s="1"/>
  <c r="DR281" i="8" s="1"/>
  <c r="DU281" i="8" s="1"/>
  <c r="BU282" i="8"/>
  <c r="AS282" i="8"/>
  <c r="BV282" i="8"/>
  <c r="AT282" i="8"/>
  <c r="S284" i="8" l="1"/>
  <c r="U284" i="8"/>
  <c r="T284" i="8"/>
  <c r="Q285" i="8"/>
  <c r="X284" i="8"/>
  <c r="AK284" i="8" s="1"/>
  <c r="AA284" i="8"/>
  <c r="R284" i="8"/>
  <c r="Z284" i="8"/>
  <c r="AM284" i="8" s="1"/>
  <c r="AU284" i="8" s="1"/>
  <c r="V284" i="8"/>
  <c r="AH284" i="8" s="1"/>
  <c r="Y284" i="8"/>
  <c r="AL284" i="8" s="1"/>
  <c r="W284" i="8"/>
  <c r="AI284" i="8" s="1"/>
  <c r="AY283" i="8"/>
  <c r="DT283" i="8"/>
  <c r="AD283" i="8"/>
  <c r="AG283" i="8" s="1"/>
  <c r="AJ283" i="8" s="1"/>
  <c r="AN283" i="8"/>
  <c r="BQ283" i="8" s="1"/>
  <c r="CI283" i="8" s="1"/>
  <c r="AX283" i="8"/>
  <c r="DQ283" i="8"/>
  <c r="DI282" i="8"/>
  <c r="DL282" i="8" s="1"/>
  <c r="DO282" i="8" s="1"/>
  <c r="DR282" i="8" s="1"/>
  <c r="DU282" i="8" s="1"/>
  <c r="BV283" i="8"/>
  <c r="AT283" i="8"/>
  <c r="AS283" i="8"/>
  <c r="BU283" i="8"/>
  <c r="DI283" i="8" l="1"/>
  <c r="DL283" i="8" s="1"/>
  <c r="DO283" i="8" s="1"/>
  <c r="DR283" i="8" s="1"/>
  <c r="DU283" i="8" s="1"/>
  <c r="AD284" i="8"/>
  <c r="AG284" i="8" s="1"/>
  <c r="AJ284" i="8" s="1"/>
  <c r="AN284" i="8"/>
  <c r="BQ284" i="8" s="1"/>
  <c r="CI284" i="8" s="1"/>
  <c r="W285" i="8"/>
  <c r="AI285" i="8" s="1"/>
  <c r="R285" i="8"/>
  <c r="S285" i="8"/>
  <c r="Q286" i="8"/>
  <c r="X285" i="8"/>
  <c r="AK285" i="8" s="1"/>
  <c r="T285" i="8"/>
  <c r="AA285" i="8"/>
  <c r="Y285" i="8"/>
  <c r="AL285" i="8" s="1"/>
  <c r="V285" i="8"/>
  <c r="AH285" i="8" s="1"/>
  <c r="Z285" i="8"/>
  <c r="AM285" i="8" s="1"/>
  <c r="AU285" i="8" s="1"/>
  <c r="U285" i="8"/>
  <c r="DQ284" i="8"/>
  <c r="AX284" i="8"/>
  <c r="DT284" i="8"/>
  <c r="AY284" i="8"/>
  <c r="BV284" i="8"/>
  <c r="AT284" i="8"/>
  <c r="AS284" i="8"/>
  <c r="BU284" i="8"/>
  <c r="DQ285" i="8" l="1"/>
  <c r="AX285" i="8"/>
  <c r="AY285" i="8"/>
  <c r="DT285" i="8"/>
  <c r="AN285" i="8"/>
  <c r="BQ285" i="8" s="1"/>
  <c r="CI285" i="8" s="1"/>
  <c r="AD285" i="8"/>
  <c r="AG285" i="8" s="1"/>
  <c r="AJ285" i="8" s="1"/>
  <c r="DI284" i="8"/>
  <c r="DL284" i="8" s="1"/>
  <c r="DO284" i="8" s="1"/>
  <c r="DR284" i="8" s="1"/>
  <c r="DU284" i="8" s="1"/>
  <c r="W286" i="8"/>
  <c r="AI286" i="8" s="1"/>
  <c r="R286" i="8"/>
  <c r="Q287" i="8"/>
  <c r="T286" i="8"/>
  <c r="AA286" i="8"/>
  <c r="X286" i="8"/>
  <c r="AK286" i="8" s="1"/>
  <c r="Y286" i="8"/>
  <c r="AL286" i="8" s="1"/>
  <c r="V286" i="8"/>
  <c r="AH286" i="8" s="1"/>
  <c r="Z286" i="8"/>
  <c r="AM286" i="8" s="1"/>
  <c r="AU286" i="8" s="1"/>
  <c r="S286" i="8"/>
  <c r="U286" i="8"/>
  <c r="AS285" i="8"/>
  <c r="BU285" i="8"/>
  <c r="BV285" i="8"/>
  <c r="AT285" i="8"/>
  <c r="AN286" i="8" l="1"/>
  <c r="BQ286" i="8" s="1"/>
  <c r="CI286" i="8" s="1"/>
  <c r="AD286" i="8"/>
  <c r="AG286" i="8" s="1"/>
  <c r="AJ286" i="8" s="1"/>
  <c r="AA287" i="8"/>
  <c r="R287" i="8"/>
  <c r="S287" i="8"/>
  <c r="T287" i="8"/>
  <c r="Y287" i="8"/>
  <c r="AL287" i="8" s="1"/>
  <c r="X287" i="8"/>
  <c r="AK287" i="8" s="1"/>
  <c r="Z287" i="8"/>
  <c r="AM287" i="8" s="1"/>
  <c r="AU287" i="8" s="1"/>
  <c r="W287" i="8"/>
  <c r="AI287" i="8" s="1"/>
  <c r="U287" i="8"/>
  <c r="V287" i="8"/>
  <c r="AH287" i="8" s="1"/>
  <c r="Q288" i="8"/>
  <c r="DQ286" i="8"/>
  <c r="AX286" i="8"/>
  <c r="DI285" i="8"/>
  <c r="DL285" i="8" s="1"/>
  <c r="DO285" i="8" s="1"/>
  <c r="DR285" i="8" s="1"/>
  <c r="DU285" i="8" s="1"/>
  <c r="DT286" i="8"/>
  <c r="AY286" i="8"/>
  <c r="AT286" i="8"/>
  <c r="BV286" i="8"/>
  <c r="AS286" i="8"/>
  <c r="BU286" i="8"/>
  <c r="AA288" i="8" l="1"/>
  <c r="X288" i="8"/>
  <c r="AK288" i="8" s="1"/>
  <c r="W288" i="8"/>
  <c r="AI288" i="8" s="1"/>
  <c r="Y288" i="8"/>
  <c r="AL288" i="8" s="1"/>
  <c r="V288" i="8"/>
  <c r="AH288" i="8" s="1"/>
  <c r="Z288" i="8"/>
  <c r="AM288" i="8" s="1"/>
  <c r="AU288" i="8" s="1"/>
  <c r="U288" i="8"/>
  <c r="S288" i="8"/>
  <c r="T288" i="8"/>
  <c r="Q289" i="8"/>
  <c r="R288" i="8"/>
  <c r="AN287" i="8"/>
  <c r="BQ287" i="8" s="1"/>
  <c r="CI287" i="8" s="1"/>
  <c r="AD287" i="8"/>
  <c r="AG287" i="8" s="1"/>
  <c r="AJ287" i="8" s="1"/>
  <c r="AX287" i="8"/>
  <c r="DQ287" i="8"/>
  <c r="AY287" i="8"/>
  <c r="DT287" i="8"/>
  <c r="DI286" i="8"/>
  <c r="DL286" i="8" s="1"/>
  <c r="DO286" i="8" s="1"/>
  <c r="DR286" i="8" s="1"/>
  <c r="DU286" i="8" s="1"/>
  <c r="AS287" i="8"/>
  <c r="BU287" i="8"/>
  <c r="AT287" i="8"/>
  <c r="BV287" i="8"/>
  <c r="DI287" i="8" l="1"/>
  <c r="DL287" i="8" s="1"/>
  <c r="DO287" i="8" s="1"/>
  <c r="DR287" i="8" s="1"/>
  <c r="DU287" i="8" s="1"/>
  <c r="DT288" i="8"/>
  <c r="AY288" i="8"/>
  <c r="DQ288" i="8"/>
  <c r="AX288" i="8"/>
  <c r="AA289" i="8"/>
  <c r="X289" i="8"/>
  <c r="AK289" i="8" s="1"/>
  <c r="V289" i="8"/>
  <c r="AH289" i="8" s="1"/>
  <c r="R289" i="8"/>
  <c r="Y289" i="8"/>
  <c r="AL289" i="8" s="1"/>
  <c r="T289" i="8"/>
  <c r="Z289" i="8"/>
  <c r="AM289" i="8" s="1"/>
  <c r="AU289" i="8" s="1"/>
  <c r="S289" i="8"/>
  <c r="U289" i="8"/>
  <c r="W289" i="8"/>
  <c r="AI289" i="8" s="1"/>
  <c r="Q290" i="8"/>
  <c r="AN288" i="8"/>
  <c r="BQ288" i="8" s="1"/>
  <c r="CI288" i="8" s="1"/>
  <c r="AD288" i="8"/>
  <c r="AG288" i="8" s="1"/>
  <c r="AJ288" i="8" s="1"/>
  <c r="AS288" i="8"/>
  <c r="BU288" i="8"/>
  <c r="BV288" i="8"/>
  <c r="AT288" i="8"/>
  <c r="DI288" i="8" l="1"/>
  <c r="DL288" i="8" s="1"/>
  <c r="DO288" i="8" s="1"/>
  <c r="DR288" i="8" s="1"/>
  <c r="DU288" i="8" s="1"/>
  <c r="DT289" i="8"/>
  <c r="AY289" i="8"/>
  <c r="Y290" i="8"/>
  <c r="AL290" i="8" s="1"/>
  <c r="S290" i="8"/>
  <c r="V290" i="8"/>
  <c r="AH290" i="8" s="1"/>
  <c r="AA290" i="8"/>
  <c r="R290" i="8"/>
  <c r="Q291" i="8"/>
  <c r="U290" i="8"/>
  <c r="X290" i="8"/>
  <c r="AK290" i="8" s="1"/>
  <c r="Z290" i="8"/>
  <c r="AM290" i="8" s="1"/>
  <c r="AU290" i="8" s="1"/>
  <c r="T290" i="8"/>
  <c r="W290" i="8"/>
  <c r="AI290" i="8" s="1"/>
  <c r="DQ289" i="8"/>
  <c r="AX289" i="8"/>
  <c r="AD289" i="8"/>
  <c r="AG289" i="8" s="1"/>
  <c r="AJ289" i="8" s="1"/>
  <c r="AN289" i="8"/>
  <c r="BQ289" i="8" s="1"/>
  <c r="CI289" i="8" s="1"/>
  <c r="BU289" i="8"/>
  <c r="AS289" i="8"/>
  <c r="AT289" i="8"/>
  <c r="BV289" i="8"/>
  <c r="Z291" i="8" l="1"/>
  <c r="AM291" i="8" s="1"/>
  <c r="AU291" i="8" s="1"/>
  <c r="V291" i="8"/>
  <c r="AH291" i="8" s="1"/>
  <c r="Y291" i="8"/>
  <c r="AL291" i="8" s="1"/>
  <c r="W291" i="8"/>
  <c r="AI291" i="8" s="1"/>
  <c r="U291" i="8"/>
  <c r="S291" i="8"/>
  <c r="T291" i="8"/>
  <c r="Q292" i="8"/>
  <c r="R291" i="8"/>
  <c r="AA291" i="8"/>
  <c r="X291" i="8"/>
  <c r="AK291" i="8" s="1"/>
  <c r="AN290" i="8"/>
  <c r="BQ290" i="8" s="1"/>
  <c r="CI290" i="8" s="1"/>
  <c r="AD290" i="8"/>
  <c r="AG290" i="8" s="1"/>
  <c r="AJ290" i="8" s="1"/>
  <c r="DQ290" i="8"/>
  <c r="AX290" i="8"/>
  <c r="DI289" i="8"/>
  <c r="DL289" i="8" s="1"/>
  <c r="DO289" i="8" s="1"/>
  <c r="DR289" i="8" s="1"/>
  <c r="DU289" i="8" s="1"/>
  <c r="AY290" i="8"/>
  <c r="DT290" i="8"/>
  <c r="AT290" i="8"/>
  <c r="BV290" i="8"/>
  <c r="BU290" i="8"/>
  <c r="AS290" i="8"/>
  <c r="AX291" i="8" l="1"/>
  <c r="DQ291" i="8"/>
  <c r="AY291" i="8"/>
  <c r="DT291" i="8"/>
  <c r="AD291" i="8"/>
  <c r="AG291" i="8" s="1"/>
  <c r="AJ291" i="8" s="1"/>
  <c r="AN291" i="8"/>
  <c r="BQ291" i="8" s="1"/>
  <c r="CI291" i="8" s="1"/>
  <c r="T292" i="8"/>
  <c r="Q293" i="8"/>
  <c r="R292" i="8"/>
  <c r="W292" i="8"/>
  <c r="AI292" i="8" s="1"/>
  <c r="V292" i="8"/>
  <c r="AH292" i="8" s="1"/>
  <c r="Y292" i="8"/>
  <c r="AL292" i="8" s="1"/>
  <c r="S292" i="8"/>
  <c r="Z292" i="8"/>
  <c r="AM292" i="8" s="1"/>
  <c r="AU292" i="8" s="1"/>
  <c r="U292" i="8"/>
  <c r="AA292" i="8"/>
  <c r="X292" i="8"/>
  <c r="AK292" i="8" s="1"/>
  <c r="DI290" i="8"/>
  <c r="DL290" i="8" s="1"/>
  <c r="DO290" i="8" s="1"/>
  <c r="DR290" i="8" s="1"/>
  <c r="DU290" i="8" s="1"/>
  <c r="AT291" i="8"/>
  <c r="BV291" i="8"/>
  <c r="BU291" i="8"/>
  <c r="AS291" i="8"/>
  <c r="DI291" i="8" l="1"/>
  <c r="DL291" i="8" s="1"/>
  <c r="DO291" i="8" s="1"/>
  <c r="DR291" i="8" s="1"/>
  <c r="DU291" i="8" s="1"/>
  <c r="DT292" i="8"/>
  <c r="AY292" i="8"/>
  <c r="DQ292" i="8"/>
  <c r="AX292" i="8"/>
  <c r="AD292" i="8"/>
  <c r="AG292" i="8" s="1"/>
  <c r="AJ292" i="8" s="1"/>
  <c r="AN292" i="8"/>
  <c r="BQ292" i="8" s="1"/>
  <c r="CI292" i="8" s="1"/>
  <c r="AA293" i="8"/>
  <c r="T293" i="8"/>
  <c r="Q294" i="8"/>
  <c r="Z293" i="8"/>
  <c r="AM293" i="8" s="1"/>
  <c r="AU293" i="8" s="1"/>
  <c r="V293" i="8"/>
  <c r="AH293" i="8" s="1"/>
  <c r="Y293" i="8"/>
  <c r="AL293" i="8" s="1"/>
  <c r="W293" i="8"/>
  <c r="AI293" i="8" s="1"/>
  <c r="U293" i="8"/>
  <c r="R293" i="8"/>
  <c r="S293" i="8"/>
  <c r="X293" i="8"/>
  <c r="AK293" i="8" s="1"/>
  <c r="AT292" i="8"/>
  <c r="BV292" i="8"/>
  <c r="BU292" i="8"/>
  <c r="AS292" i="8"/>
  <c r="U294" i="8" l="1"/>
  <c r="Y294" i="8"/>
  <c r="AL294" i="8" s="1"/>
  <c r="V294" i="8"/>
  <c r="AH294" i="8" s="1"/>
  <c r="Q295" i="8"/>
  <c r="X294" i="8"/>
  <c r="AK294" i="8" s="1"/>
  <c r="AA294" i="8"/>
  <c r="T294" i="8"/>
  <c r="R294" i="8"/>
  <c r="Z294" i="8"/>
  <c r="AM294" i="8" s="1"/>
  <c r="AU294" i="8" s="1"/>
  <c r="W294" i="8"/>
  <c r="AI294" i="8" s="1"/>
  <c r="S294" i="8"/>
  <c r="AD293" i="8"/>
  <c r="AG293" i="8" s="1"/>
  <c r="AJ293" i="8" s="1"/>
  <c r="AN293" i="8"/>
  <c r="BQ293" i="8" s="1"/>
  <c r="CI293" i="8" s="1"/>
  <c r="DI292" i="8"/>
  <c r="DL292" i="8" s="1"/>
  <c r="DO292" i="8" s="1"/>
  <c r="DR292" i="8" s="1"/>
  <c r="DU292" i="8" s="1"/>
  <c r="AX293" i="8"/>
  <c r="DQ293" i="8"/>
  <c r="AY293" i="8"/>
  <c r="DT293" i="8"/>
  <c r="BU293" i="8"/>
  <c r="AS293" i="8"/>
  <c r="BV293" i="8"/>
  <c r="AT293" i="8"/>
  <c r="AD294" i="8" l="1"/>
  <c r="AG294" i="8" s="1"/>
  <c r="AJ294" i="8" s="1"/>
  <c r="AN294" i="8"/>
  <c r="BQ294" i="8" s="1"/>
  <c r="CI294" i="8" s="1"/>
  <c r="S295" i="8"/>
  <c r="W295" i="8"/>
  <c r="AI295" i="8" s="1"/>
  <c r="U295" i="8"/>
  <c r="Q296" i="8"/>
  <c r="T295" i="8"/>
  <c r="Z295" i="8"/>
  <c r="AM295" i="8" s="1"/>
  <c r="AU295" i="8" s="1"/>
  <c r="Y295" i="8"/>
  <c r="AL295" i="8" s="1"/>
  <c r="V295" i="8"/>
  <c r="AH295" i="8" s="1"/>
  <c r="AA295" i="8"/>
  <c r="R295" i="8"/>
  <c r="X295" i="8"/>
  <c r="AK295" i="8" s="1"/>
  <c r="AX294" i="8"/>
  <c r="DQ294" i="8"/>
  <c r="AY294" i="8"/>
  <c r="DT294" i="8"/>
  <c r="DI293" i="8"/>
  <c r="DL293" i="8" s="1"/>
  <c r="DO293" i="8" s="1"/>
  <c r="DR293" i="8" s="1"/>
  <c r="DU293" i="8" s="1"/>
  <c r="BV294" i="8"/>
  <c r="AT294" i="8"/>
  <c r="AS294" i="8"/>
  <c r="BU294" i="8"/>
  <c r="AY295" i="8" l="1"/>
  <c r="DT295" i="8"/>
  <c r="AA296" i="8"/>
  <c r="R296" i="8"/>
  <c r="T296" i="8"/>
  <c r="V296" i="8"/>
  <c r="AH296" i="8" s="1"/>
  <c r="Q297" i="8"/>
  <c r="Z296" i="8"/>
  <c r="AM296" i="8" s="1"/>
  <c r="AU296" i="8" s="1"/>
  <c r="Y296" i="8"/>
  <c r="AL296" i="8" s="1"/>
  <c r="W296" i="8"/>
  <c r="AI296" i="8" s="1"/>
  <c r="U296" i="8"/>
  <c r="X296" i="8"/>
  <c r="AK296" i="8" s="1"/>
  <c r="S296" i="8"/>
  <c r="DI294" i="8"/>
  <c r="DL294" i="8" s="1"/>
  <c r="DO294" i="8" s="1"/>
  <c r="DR294" i="8" s="1"/>
  <c r="DU294" i="8" s="1"/>
  <c r="DQ295" i="8"/>
  <c r="AX295" i="8"/>
  <c r="AD295" i="8"/>
  <c r="AG295" i="8" s="1"/>
  <c r="AJ295" i="8" s="1"/>
  <c r="AN295" i="8"/>
  <c r="BQ295" i="8" s="1"/>
  <c r="CI295" i="8" s="1"/>
  <c r="AS295" i="8"/>
  <c r="BU295" i="8"/>
  <c r="BV295" i="8"/>
  <c r="AT295" i="8"/>
  <c r="AD296" i="8" l="1"/>
  <c r="AG296" i="8" s="1"/>
  <c r="AJ296" i="8" s="1"/>
  <c r="AN296" i="8"/>
  <c r="BQ296" i="8" s="1"/>
  <c r="CI296" i="8" s="1"/>
  <c r="AX296" i="8"/>
  <c r="DQ296" i="8"/>
  <c r="AY296" i="8"/>
  <c r="DT296" i="8"/>
  <c r="DI295" i="8"/>
  <c r="DL295" i="8" s="1"/>
  <c r="DO295" i="8" s="1"/>
  <c r="DR295" i="8" s="1"/>
  <c r="DU295" i="8" s="1"/>
  <c r="Y297" i="8"/>
  <c r="AL297" i="8" s="1"/>
  <c r="S297" i="8"/>
  <c r="X297" i="8"/>
  <c r="AK297" i="8" s="1"/>
  <c r="Q298" i="8"/>
  <c r="V297" i="8"/>
  <c r="AH297" i="8" s="1"/>
  <c r="AA297" i="8"/>
  <c r="R297" i="8"/>
  <c r="Z297" i="8"/>
  <c r="AM297" i="8" s="1"/>
  <c r="AU297" i="8" s="1"/>
  <c r="U297" i="8"/>
  <c r="W297" i="8"/>
  <c r="AI297" i="8" s="1"/>
  <c r="T297" i="8"/>
  <c r="AS296" i="8"/>
  <c r="BU296" i="8"/>
  <c r="AT296" i="8"/>
  <c r="BV296" i="8"/>
  <c r="AA298" i="8" l="1"/>
  <c r="T298" i="8"/>
  <c r="W298" i="8"/>
  <c r="AI298" i="8" s="1"/>
  <c r="V298" i="8"/>
  <c r="AH298" i="8" s="1"/>
  <c r="Z298" i="8"/>
  <c r="AM298" i="8" s="1"/>
  <c r="AU298" i="8" s="1"/>
  <c r="R298" i="8"/>
  <c r="Y298" i="8"/>
  <c r="AL298" i="8" s="1"/>
  <c r="U298" i="8"/>
  <c r="Q299" i="8"/>
  <c r="S298" i="8"/>
  <c r="X298" i="8"/>
  <c r="AK298" i="8" s="1"/>
  <c r="AX297" i="8"/>
  <c r="DQ297" i="8"/>
  <c r="AY297" i="8"/>
  <c r="DT297" i="8"/>
  <c r="DI296" i="8"/>
  <c r="DL296" i="8" s="1"/>
  <c r="DO296" i="8" s="1"/>
  <c r="DR296" i="8" s="1"/>
  <c r="DU296" i="8" s="1"/>
  <c r="AN297" i="8"/>
  <c r="BQ297" i="8" s="1"/>
  <c r="CI297" i="8" s="1"/>
  <c r="AD297" i="8"/>
  <c r="AG297" i="8" s="1"/>
  <c r="AJ297" i="8" s="1"/>
  <c r="AS297" i="8"/>
  <c r="BU297" i="8"/>
  <c r="BV297" i="8"/>
  <c r="AT297" i="8"/>
  <c r="DT298" i="8" l="1"/>
  <c r="AY298" i="8"/>
  <c r="DQ298" i="8"/>
  <c r="AX298" i="8"/>
  <c r="DI297" i="8"/>
  <c r="DL297" i="8" s="1"/>
  <c r="DO297" i="8" s="1"/>
  <c r="DR297" i="8" s="1"/>
  <c r="DU297" i="8" s="1"/>
  <c r="U299" i="8"/>
  <c r="R299" i="8"/>
  <c r="Y299" i="8"/>
  <c r="AL299" i="8" s="1"/>
  <c r="X299" i="8"/>
  <c r="AK299" i="8" s="1"/>
  <c r="AA299" i="8"/>
  <c r="V299" i="8"/>
  <c r="AH299" i="8" s="1"/>
  <c r="Q300" i="8"/>
  <c r="T299" i="8"/>
  <c r="Z299" i="8"/>
  <c r="AM299" i="8" s="1"/>
  <c r="AU299" i="8" s="1"/>
  <c r="S299" i="8"/>
  <c r="W299" i="8"/>
  <c r="AI299" i="8" s="1"/>
  <c r="AD298" i="8"/>
  <c r="AG298" i="8" s="1"/>
  <c r="AJ298" i="8" s="1"/>
  <c r="AN298" i="8"/>
  <c r="BQ298" i="8" s="1"/>
  <c r="CI298" i="8" s="1"/>
  <c r="AS298" i="8"/>
  <c r="BU298" i="8"/>
  <c r="AT298" i="8"/>
  <c r="BV298" i="8"/>
  <c r="AA300" i="8" l="1"/>
  <c r="R300" i="8"/>
  <c r="U300" i="8"/>
  <c r="Q301" i="8"/>
  <c r="T300" i="8"/>
  <c r="Z300" i="8"/>
  <c r="AM300" i="8" s="1"/>
  <c r="AU300" i="8" s="1"/>
  <c r="X300" i="8"/>
  <c r="AK300" i="8" s="1"/>
  <c r="S300" i="8"/>
  <c r="W300" i="8"/>
  <c r="AI300" i="8" s="1"/>
  <c r="Y300" i="8"/>
  <c r="AL300" i="8" s="1"/>
  <c r="V300" i="8"/>
  <c r="AH300" i="8" s="1"/>
  <c r="DI298" i="8"/>
  <c r="DL298" i="8" s="1"/>
  <c r="DO298" i="8" s="1"/>
  <c r="DR298" i="8" s="1"/>
  <c r="DU298" i="8" s="1"/>
  <c r="AD299" i="8"/>
  <c r="AG299" i="8" s="1"/>
  <c r="AJ299" i="8" s="1"/>
  <c r="AN299" i="8"/>
  <c r="BQ299" i="8" s="1"/>
  <c r="CI299" i="8" s="1"/>
  <c r="DQ299" i="8"/>
  <c r="AX299" i="8"/>
  <c r="AY299" i="8"/>
  <c r="DT299" i="8"/>
  <c r="AT299" i="8"/>
  <c r="BV299" i="8"/>
  <c r="BU299" i="8"/>
  <c r="AS299" i="8"/>
  <c r="R301" i="8" l="1"/>
  <c r="AA301" i="8"/>
  <c r="V301" i="8"/>
  <c r="AH301" i="8" s="1"/>
  <c r="Q302" i="8"/>
  <c r="X301" i="8"/>
  <c r="AK301" i="8" s="1"/>
  <c r="Z301" i="8"/>
  <c r="AM301" i="8" s="1"/>
  <c r="AU301" i="8" s="1"/>
  <c r="T301" i="8"/>
  <c r="Y301" i="8"/>
  <c r="AL301" i="8" s="1"/>
  <c r="S301" i="8"/>
  <c r="U301" i="8"/>
  <c r="W301" i="8"/>
  <c r="AI301" i="8" s="1"/>
  <c r="AY300" i="8"/>
  <c r="DT300" i="8"/>
  <c r="DI299" i="8"/>
  <c r="DL299" i="8" s="1"/>
  <c r="DO299" i="8" s="1"/>
  <c r="DR299" i="8" s="1"/>
  <c r="DU299" i="8" s="1"/>
  <c r="DQ300" i="8"/>
  <c r="AX300" i="8"/>
  <c r="AN300" i="8"/>
  <c r="BQ300" i="8" s="1"/>
  <c r="CI300" i="8" s="1"/>
  <c r="AD300" i="8"/>
  <c r="AG300" i="8" s="1"/>
  <c r="AJ300" i="8" s="1"/>
  <c r="AT300" i="8"/>
  <c r="BV300" i="8"/>
  <c r="AS300" i="8"/>
  <c r="BU300" i="8"/>
  <c r="DI300" i="8" l="1"/>
  <c r="DL300" i="8" s="1"/>
  <c r="DO300" i="8" s="1"/>
  <c r="DR300" i="8" s="1"/>
  <c r="DU300" i="8" s="1"/>
  <c r="Y302" i="8"/>
  <c r="AL302" i="8" s="1"/>
  <c r="X302" i="8"/>
  <c r="AK302" i="8" s="1"/>
  <c r="S302" i="8"/>
  <c r="U302" i="8"/>
  <c r="Z302" i="8"/>
  <c r="AM302" i="8" s="1"/>
  <c r="AU302" i="8" s="1"/>
  <c r="AA302" i="8"/>
  <c r="W302" i="8"/>
  <c r="AI302" i="8" s="1"/>
  <c r="R302" i="8"/>
  <c r="Q303" i="8"/>
  <c r="V302" i="8"/>
  <c r="AH302" i="8" s="1"/>
  <c r="T302" i="8"/>
  <c r="AX301" i="8"/>
  <c r="DQ301" i="8"/>
  <c r="AN301" i="8"/>
  <c r="BQ301" i="8" s="1"/>
  <c r="CI301" i="8" s="1"/>
  <c r="AD301" i="8"/>
  <c r="AG301" i="8" s="1"/>
  <c r="AJ301" i="8" s="1"/>
  <c r="DT301" i="8"/>
  <c r="AY301" i="8"/>
  <c r="AS301" i="8"/>
  <c r="BU301" i="8"/>
  <c r="BV301" i="8"/>
  <c r="AT301" i="8"/>
  <c r="DI301" i="8" l="1"/>
  <c r="DL301" i="8" s="1"/>
  <c r="DO301" i="8" s="1"/>
  <c r="DR301" i="8" s="1"/>
  <c r="DU301" i="8" s="1"/>
  <c r="Z303" i="8"/>
  <c r="AM303" i="8" s="1"/>
  <c r="AU303" i="8" s="1"/>
  <c r="W303" i="8"/>
  <c r="AI303" i="8" s="1"/>
  <c r="U303" i="8"/>
  <c r="T303" i="8"/>
  <c r="Q304" i="8"/>
  <c r="R303" i="8"/>
  <c r="Y303" i="8"/>
  <c r="AL303" i="8" s="1"/>
  <c r="X303" i="8"/>
  <c r="AK303" i="8" s="1"/>
  <c r="S303" i="8"/>
  <c r="AA303" i="8"/>
  <c r="V303" i="8"/>
  <c r="AH303" i="8" s="1"/>
  <c r="AY302" i="8"/>
  <c r="DT302" i="8"/>
  <c r="DQ302" i="8"/>
  <c r="AX302" i="8"/>
  <c r="AD302" i="8"/>
  <c r="AG302" i="8" s="1"/>
  <c r="AJ302" i="8" s="1"/>
  <c r="AN302" i="8"/>
  <c r="BQ302" i="8" s="1"/>
  <c r="CI302" i="8" s="1"/>
  <c r="BU302" i="8"/>
  <c r="AS302" i="8"/>
  <c r="AT302" i="8"/>
  <c r="BV302" i="8"/>
  <c r="AY303" i="8" l="1"/>
  <c r="DT303" i="8"/>
  <c r="AA304" i="8"/>
  <c r="T304" i="8"/>
  <c r="V304" i="8"/>
  <c r="AH304" i="8" s="1"/>
  <c r="Z304" i="8"/>
  <c r="AM304" i="8" s="1"/>
  <c r="AU304" i="8" s="1"/>
  <c r="R304" i="8"/>
  <c r="Q305" i="8"/>
  <c r="S304" i="8"/>
  <c r="Y304" i="8"/>
  <c r="AL304" i="8" s="1"/>
  <c r="W304" i="8"/>
  <c r="AI304" i="8" s="1"/>
  <c r="U304" i="8"/>
  <c r="X304" i="8"/>
  <c r="AK304" i="8" s="1"/>
  <c r="DI302" i="8"/>
  <c r="DL302" i="8" s="1"/>
  <c r="DO302" i="8" s="1"/>
  <c r="DR302" i="8" s="1"/>
  <c r="DU302" i="8" s="1"/>
  <c r="AN303" i="8"/>
  <c r="BQ303" i="8" s="1"/>
  <c r="CI303" i="8" s="1"/>
  <c r="AD303" i="8"/>
  <c r="AG303" i="8" s="1"/>
  <c r="AJ303" i="8" s="1"/>
  <c r="DQ303" i="8"/>
  <c r="AX303" i="8"/>
  <c r="BV303" i="8"/>
  <c r="AT303" i="8"/>
  <c r="BU303" i="8"/>
  <c r="AS303" i="8"/>
  <c r="AX304" i="8" l="1"/>
  <c r="DQ304" i="8"/>
  <c r="AD304" i="8"/>
  <c r="AG304" i="8" s="1"/>
  <c r="AJ304" i="8" s="1"/>
  <c r="AN304" i="8"/>
  <c r="BQ304" i="8" s="1"/>
  <c r="CI304" i="8" s="1"/>
  <c r="DI303" i="8"/>
  <c r="DL303" i="8" s="1"/>
  <c r="DO303" i="8" s="1"/>
  <c r="DR303" i="8" s="1"/>
  <c r="DU303" i="8" s="1"/>
  <c r="DT304" i="8"/>
  <c r="AY304" i="8"/>
  <c r="AA305" i="8"/>
  <c r="X305" i="8"/>
  <c r="AK305" i="8" s="1"/>
  <c r="Z305" i="8"/>
  <c r="AM305" i="8" s="1"/>
  <c r="AU305" i="8" s="1"/>
  <c r="R305" i="8"/>
  <c r="T305" i="8"/>
  <c r="Y305" i="8"/>
  <c r="AL305" i="8" s="1"/>
  <c r="Q306" i="8"/>
  <c r="W305" i="8"/>
  <c r="AI305" i="8" s="1"/>
  <c r="U305" i="8"/>
  <c r="V305" i="8"/>
  <c r="AH305" i="8" s="1"/>
  <c r="S305" i="8"/>
  <c r="AT304" i="8"/>
  <c r="BV304" i="8"/>
  <c r="AS304" i="8"/>
  <c r="BU304" i="8"/>
  <c r="AN305" i="8" l="1"/>
  <c r="BQ305" i="8" s="1"/>
  <c r="CI305" i="8" s="1"/>
  <c r="AD305" i="8"/>
  <c r="AG305" i="8" s="1"/>
  <c r="AJ305" i="8" s="1"/>
  <c r="DQ305" i="8"/>
  <c r="AX305" i="8"/>
  <c r="Z306" i="8"/>
  <c r="AM306" i="8" s="1"/>
  <c r="AU306" i="8" s="1"/>
  <c r="S306" i="8"/>
  <c r="R306" i="8"/>
  <c r="V306" i="8"/>
  <c r="AH306" i="8" s="1"/>
  <c r="U306" i="8"/>
  <c r="W306" i="8"/>
  <c r="AI306" i="8" s="1"/>
  <c r="T306" i="8"/>
  <c r="Q307" i="8"/>
  <c r="AA306" i="8"/>
  <c r="X306" i="8"/>
  <c r="AK306" i="8" s="1"/>
  <c r="Y306" i="8"/>
  <c r="AL306" i="8" s="1"/>
  <c r="DT305" i="8"/>
  <c r="AY305" i="8"/>
  <c r="DI304" i="8"/>
  <c r="DL304" i="8" s="1"/>
  <c r="DO304" i="8" s="1"/>
  <c r="DR304" i="8" s="1"/>
  <c r="DU304" i="8" s="1"/>
  <c r="AS305" i="8"/>
  <c r="BU305" i="8"/>
  <c r="AT305" i="8"/>
  <c r="BV305" i="8"/>
  <c r="AN306" i="8" l="1"/>
  <c r="BQ306" i="8" s="1"/>
  <c r="CI306" i="8" s="1"/>
  <c r="AD306" i="8"/>
  <c r="AG306" i="8" s="1"/>
  <c r="AJ306" i="8" s="1"/>
  <c r="W307" i="8"/>
  <c r="AI307" i="8" s="1"/>
  <c r="U307" i="8"/>
  <c r="R307" i="8"/>
  <c r="Q308" i="8"/>
  <c r="X307" i="8"/>
  <c r="AK307" i="8" s="1"/>
  <c r="S307" i="8"/>
  <c r="Z307" i="8"/>
  <c r="AM307" i="8" s="1"/>
  <c r="AU307" i="8" s="1"/>
  <c r="T307" i="8"/>
  <c r="Y307" i="8"/>
  <c r="AL307" i="8" s="1"/>
  <c r="V307" i="8"/>
  <c r="AH307" i="8" s="1"/>
  <c r="AA307" i="8"/>
  <c r="AX306" i="8"/>
  <c r="DQ306" i="8"/>
  <c r="DI305" i="8"/>
  <c r="DL305" i="8" s="1"/>
  <c r="DO305" i="8" s="1"/>
  <c r="DR305" i="8" s="1"/>
  <c r="DU305" i="8" s="1"/>
  <c r="DT306" i="8"/>
  <c r="AY306" i="8"/>
  <c r="BV306" i="8"/>
  <c r="AT306" i="8"/>
  <c r="BU306" i="8"/>
  <c r="AS306" i="8"/>
  <c r="DT307" i="8" l="1"/>
  <c r="AY307" i="8"/>
  <c r="DQ307" i="8"/>
  <c r="AX307" i="8"/>
  <c r="DI306" i="8"/>
  <c r="DL306" i="8" s="1"/>
  <c r="DO306" i="8" s="1"/>
  <c r="DR306" i="8" s="1"/>
  <c r="DU306" i="8" s="1"/>
  <c r="U308" i="8"/>
  <c r="S308" i="8"/>
  <c r="Q309" i="8"/>
  <c r="T308" i="8"/>
  <c r="V308" i="8"/>
  <c r="AH308" i="8" s="1"/>
  <c r="R308" i="8"/>
  <c r="Z308" i="8"/>
  <c r="AM308" i="8" s="1"/>
  <c r="AU308" i="8" s="1"/>
  <c r="Y308" i="8"/>
  <c r="AL308" i="8" s="1"/>
  <c r="AA308" i="8"/>
  <c r="X308" i="8"/>
  <c r="AK308" i="8" s="1"/>
  <c r="W308" i="8"/>
  <c r="AI308" i="8" s="1"/>
  <c r="AN307" i="8"/>
  <c r="BQ307" i="8" s="1"/>
  <c r="CI307" i="8" s="1"/>
  <c r="AD307" i="8"/>
  <c r="AG307" i="8" s="1"/>
  <c r="AJ307" i="8" s="1"/>
  <c r="AS307" i="8"/>
  <c r="BU307" i="8"/>
  <c r="AT307" i="8"/>
  <c r="BV307" i="8"/>
  <c r="DQ308" i="8" l="1"/>
  <c r="AX308" i="8"/>
  <c r="W309" i="8"/>
  <c r="AI309" i="8" s="1"/>
  <c r="S309" i="8"/>
  <c r="V309" i="8"/>
  <c r="AH309" i="8" s="1"/>
  <c r="R309" i="8"/>
  <c r="AA309" i="8"/>
  <c r="X309" i="8"/>
  <c r="AK309" i="8" s="1"/>
  <c r="Q310" i="8"/>
  <c r="T309" i="8"/>
  <c r="U309" i="8"/>
  <c r="Y309" i="8"/>
  <c r="AL309" i="8" s="1"/>
  <c r="Z309" i="8"/>
  <c r="AM309" i="8" s="1"/>
  <c r="AU309" i="8" s="1"/>
  <c r="AN308" i="8"/>
  <c r="BQ308" i="8" s="1"/>
  <c r="CI308" i="8" s="1"/>
  <c r="AD308" i="8"/>
  <c r="AG308" i="8" s="1"/>
  <c r="AJ308" i="8" s="1"/>
  <c r="AY308" i="8"/>
  <c r="DT308" i="8"/>
  <c r="DI307" i="8"/>
  <c r="DL307" i="8" s="1"/>
  <c r="DO307" i="8" s="1"/>
  <c r="DR307" i="8" s="1"/>
  <c r="DU307" i="8" s="1"/>
  <c r="BV308" i="8"/>
  <c r="AT308" i="8"/>
  <c r="AS308" i="8"/>
  <c r="BU308" i="8"/>
  <c r="AN309" i="8" l="1"/>
  <c r="BQ309" i="8" s="1"/>
  <c r="CI309" i="8" s="1"/>
  <c r="AD309" i="8"/>
  <c r="AG309" i="8" s="1"/>
  <c r="AJ309" i="8" s="1"/>
  <c r="DT309" i="8"/>
  <c r="AY309" i="8"/>
  <c r="AX309" i="8"/>
  <c r="DQ309" i="8"/>
  <c r="DI308" i="8"/>
  <c r="DL308" i="8" s="1"/>
  <c r="DO308" i="8" s="1"/>
  <c r="DR308" i="8" s="1"/>
  <c r="DU308" i="8" s="1"/>
  <c r="U310" i="8"/>
  <c r="Q311" i="8"/>
  <c r="X310" i="8"/>
  <c r="AK310" i="8" s="1"/>
  <c r="T310" i="8"/>
  <c r="AA310" i="8"/>
  <c r="Z310" i="8"/>
  <c r="AM310" i="8" s="1"/>
  <c r="AU310" i="8" s="1"/>
  <c r="R310" i="8"/>
  <c r="V310" i="8"/>
  <c r="AH310" i="8" s="1"/>
  <c r="W310" i="8"/>
  <c r="AI310" i="8" s="1"/>
  <c r="Y310" i="8"/>
  <c r="AL310" i="8" s="1"/>
  <c r="S310" i="8"/>
  <c r="AT309" i="8"/>
  <c r="BV309" i="8"/>
  <c r="BU309" i="8"/>
  <c r="AS309" i="8"/>
  <c r="AD310" i="8" l="1"/>
  <c r="AG310" i="8" s="1"/>
  <c r="AJ310" i="8" s="1"/>
  <c r="AN310" i="8"/>
  <c r="BQ310" i="8" s="1"/>
  <c r="CI310" i="8" s="1"/>
  <c r="DI309" i="8"/>
  <c r="DL309" i="8" s="1"/>
  <c r="DO309" i="8" s="1"/>
  <c r="DR309" i="8" s="1"/>
  <c r="DU309" i="8" s="1"/>
  <c r="AY310" i="8"/>
  <c r="DT310" i="8"/>
  <c r="Q312" i="8"/>
  <c r="X311" i="8"/>
  <c r="AK311" i="8" s="1"/>
  <c r="Z311" i="8"/>
  <c r="AM311" i="8" s="1"/>
  <c r="AU311" i="8" s="1"/>
  <c r="R311" i="8"/>
  <c r="Y311" i="8"/>
  <c r="AL311" i="8" s="1"/>
  <c r="S311" i="8"/>
  <c r="W311" i="8"/>
  <c r="AI311" i="8" s="1"/>
  <c r="V311" i="8"/>
  <c r="AH311" i="8" s="1"/>
  <c r="AA311" i="8"/>
  <c r="T311" i="8"/>
  <c r="U311" i="8"/>
  <c r="DQ310" i="8"/>
  <c r="AX310" i="8"/>
  <c r="BU310" i="8"/>
  <c r="AS310" i="8"/>
  <c r="AT310" i="8"/>
  <c r="BV310" i="8"/>
  <c r="DT311" i="8" l="1"/>
  <c r="AY311" i="8"/>
  <c r="AD311" i="8"/>
  <c r="AG311" i="8" s="1"/>
  <c r="AJ311" i="8" s="1"/>
  <c r="AN311" i="8"/>
  <c r="BQ311" i="8" s="1"/>
  <c r="CI311" i="8" s="1"/>
  <c r="AA312" i="8"/>
  <c r="X312" i="8"/>
  <c r="AK312" i="8" s="1"/>
  <c r="Q313" i="8"/>
  <c r="V312" i="8"/>
  <c r="AH312" i="8" s="1"/>
  <c r="Y312" i="8"/>
  <c r="AL312" i="8" s="1"/>
  <c r="T312" i="8"/>
  <c r="W312" i="8"/>
  <c r="AI312" i="8" s="1"/>
  <c r="U312" i="8"/>
  <c r="Z312" i="8"/>
  <c r="AM312" i="8" s="1"/>
  <c r="AU312" i="8" s="1"/>
  <c r="S312" i="8"/>
  <c r="R312" i="8"/>
  <c r="DI310" i="8"/>
  <c r="DL310" i="8" s="1"/>
  <c r="DO310" i="8" s="1"/>
  <c r="DR310" i="8" s="1"/>
  <c r="DU310" i="8" s="1"/>
  <c r="AX311" i="8"/>
  <c r="DQ311" i="8"/>
  <c r="AT311" i="8"/>
  <c r="BV311" i="8"/>
  <c r="BU311" i="8"/>
  <c r="AS311" i="8"/>
  <c r="AX312" i="8" l="1"/>
  <c r="DQ312" i="8"/>
  <c r="DT312" i="8"/>
  <c r="AY312" i="8"/>
  <c r="Q314" i="8"/>
  <c r="V313" i="8"/>
  <c r="AH313" i="8" s="1"/>
  <c r="U313" i="8"/>
  <c r="AA313" i="8"/>
  <c r="X313" i="8"/>
  <c r="AK313" i="8" s="1"/>
  <c r="S313" i="8"/>
  <c r="Z313" i="8"/>
  <c r="AM313" i="8" s="1"/>
  <c r="AU313" i="8" s="1"/>
  <c r="T313" i="8"/>
  <c r="Y313" i="8"/>
  <c r="AL313" i="8" s="1"/>
  <c r="R313" i="8"/>
  <c r="W313" i="8"/>
  <c r="AI313" i="8" s="1"/>
  <c r="AN312" i="8"/>
  <c r="BQ312" i="8" s="1"/>
  <c r="CI312" i="8" s="1"/>
  <c r="AD312" i="8"/>
  <c r="AG312" i="8" s="1"/>
  <c r="AJ312" i="8" s="1"/>
  <c r="DI311" i="8"/>
  <c r="DL311" i="8" s="1"/>
  <c r="DO311" i="8" s="1"/>
  <c r="DR311" i="8" s="1"/>
  <c r="DU311" i="8" s="1"/>
  <c r="AS312" i="8"/>
  <c r="BU312" i="8"/>
  <c r="BV312" i="8"/>
  <c r="AT312" i="8"/>
  <c r="DI312" i="8" l="1"/>
  <c r="DL312" i="8" s="1"/>
  <c r="DO312" i="8" s="1"/>
  <c r="DR312" i="8" s="1"/>
  <c r="DU312" i="8" s="1"/>
  <c r="AD313" i="8"/>
  <c r="AG313" i="8" s="1"/>
  <c r="AJ313" i="8" s="1"/>
  <c r="AN313" i="8"/>
  <c r="BQ313" i="8" s="1"/>
  <c r="CI313" i="8" s="1"/>
  <c r="DT313" i="8"/>
  <c r="AY313" i="8"/>
  <c r="Q315" i="8"/>
  <c r="R314" i="8"/>
  <c r="V314" i="8"/>
  <c r="AH314" i="8" s="1"/>
  <c r="Z314" i="8"/>
  <c r="AM314" i="8" s="1"/>
  <c r="AU314" i="8" s="1"/>
  <c r="X314" i="8"/>
  <c r="AK314" i="8" s="1"/>
  <c r="AA314" i="8"/>
  <c r="Y314" i="8"/>
  <c r="AL314" i="8" s="1"/>
  <c r="U314" i="8"/>
  <c r="W314" i="8"/>
  <c r="AI314" i="8" s="1"/>
  <c r="S314" i="8"/>
  <c r="T314" i="8"/>
  <c r="DQ313" i="8"/>
  <c r="AX313" i="8"/>
  <c r="BV313" i="8"/>
  <c r="AT313" i="8"/>
  <c r="BU313" i="8"/>
  <c r="AS313" i="8"/>
  <c r="AY314" i="8" l="1"/>
  <c r="DT314" i="8"/>
  <c r="AN314" i="8"/>
  <c r="BQ314" i="8" s="1"/>
  <c r="CI314" i="8" s="1"/>
  <c r="AD314" i="8"/>
  <c r="AG314" i="8" s="1"/>
  <c r="AJ314" i="8" s="1"/>
  <c r="DI313" i="8"/>
  <c r="DL313" i="8" s="1"/>
  <c r="DO313" i="8" s="1"/>
  <c r="DR313" i="8" s="1"/>
  <c r="DU313" i="8" s="1"/>
  <c r="DQ314" i="8"/>
  <c r="AX314" i="8"/>
  <c r="T315" i="8"/>
  <c r="Y315" i="8"/>
  <c r="AL315" i="8" s="1"/>
  <c r="Q316" i="8"/>
  <c r="V315" i="8"/>
  <c r="AH315" i="8" s="1"/>
  <c r="X315" i="8"/>
  <c r="AK315" i="8" s="1"/>
  <c r="AA315" i="8"/>
  <c r="R315" i="8"/>
  <c r="Z315" i="8"/>
  <c r="AM315" i="8" s="1"/>
  <c r="AU315" i="8" s="1"/>
  <c r="W315" i="8"/>
  <c r="AI315" i="8" s="1"/>
  <c r="U315" i="8"/>
  <c r="S315" i="8"/>
  <c r="BU314" i="8"/>
  <c r="AS314" i="8"/>
  <c r="AT314" i="8"/>
  <c r="BV314" i="8"/>
  <c r="AN315" i="8" l="1"/>
  <c r="BQ315" i="8" s="1"/>
  <c r="CI315" i="8" s="1"/>
  <c r="AD315" i="8"/>
  <c r="AG315" i="8" s="1"/>
  <c r="AJ315" i="8" s="1"/>
  <c r="DI314" i="8"/>
  <c r="DL314" i="8" s="1"/>
  <c r="DO314" i="8" s="1"/>
  <c r="DR314" i="8" s="1"/>
  <c r="DU314" i="8" s="1"/>
  <c r="Z316" i="8"/>
  <c r="AM316" i="8" s="1"/>
  <c r="AU316" i="8" s="1"/>
  <c r="T316" i="8"/>
  <c r="Y316" i="8"/>
  <c r="AL316" i="8" s="1"/>
  <c r="S316" i="8"/>
  <c r="U316" i="8"/>
  <c r="W316" i="8"/>
  <c r="AI316" i="8" s="1"/>
  <c r="V316" i="8"/>
  <c r="AH316" i="8" s="1"/>
  <c r="AA316" i="8"/>
  <c r="R316" i="8"/>
  <c r="X316" i="8"/>
  <c r="AK316" i="8" s="1"/>
  <c r="Q317" i="8"/>
  <c r="AY315" i="8"/>
  <c r="DT315" i="8"/>
  <c r="DQ315" i="8"/>
  <c r="AX315" i="8"/>
  <c r="AT315" i="8"/>
  <c r="BV315" i="8"/>
  <c r="AS315" i="8"/>
  <c r="BU315" i="8"/>
  <c r="AY316" i="8" l="1"/>
  <c r="DT316" i="8"/>
  <c r="Q318" i="8"/>
  <c r="X317" i="8"/>
  <c r="AK317" i="8" s="1"/>
  <c r="AA317" i="8"/>
  <c r="V317" i="8"/>
  <c r="AH317" i="8" s="1"/>
  <c r="T317" i="8"/>
  <c r="W317" i="8"/>
  <c r="AI317" i="8" s="1"/>
  <c r="U317" i="8"/>
  <c r="S317" i="8"/>
  <c r="R317" i="8"/>
  <c r="Y317" i="8"/>
  <c r="AL317" i="8" s="1"/>
  <c r="Z317" i="8"/>
  <c r="AM317" i="8" s="1"/>
  <c r="AU317" i="8" s="1"/>
  <c r="AN316" i="8"/>
  <c r="BQ316" i="8" s="1"/>
  <c r="CI316" i="8" s="1"/>
  <c r="AD316" i="8"/>
  <c r="AG316" i="8" s="1"/>
  <c r="AJ316" i="8" s="1"/>
  <c r="DI315" i="8"/>
  <c r="DL315" i="8" s="1"/>
  <c r="DO315" i="8" s="1"/>
  <c r="DR315" i="8" s="1"/>
  <c r="DU315" i="8" s="1"/>
  <c r="DQ316" i="8"/>
  <c r="AX316" i="8"/>
  <c r="AT316" i="8"/>
  <c r="BV316" i="8"/>
  <c r="BU316" i="8"/>
  <c r="AS316" i="8"/>
  <c r="Y318" i="8" l="1"/>
  <c r="AL318" i="8" s="1"/>
  <c r="R318" i="8"/>
  <c r="W318" i="8"/>
  <c r="AI318" i="8" s="1"/>
  <c r="V318" i="8"/>
  <c r="AH318" i="8" s="1"/>
  <c r="S318" i="8"/>
  <c r="Q319" i="8"/>
  <c r="Z318" i="8"/>
  <c r="AM318" i="8" s="1"/>
  <c r="AU318" i="8" s="1"/>
  <c r="U318" i="8"/>
  <c r="AA318" i="8"/>
  <c r="X318" i="8"/>
  <c r="AK318" i="8" s="1"/>
  <c r="T318" i="8"/>
  <c r="DQ317" i="8"/>
  <c r="AX317" i="8"/>
  <c r="DI316" i="8"/>
  <c r="DL316" i="8" s="1"/>
  <c r="DO316" i="8" s="1"/>
  <c r="DR316" i="8" s="1"/>
  <c r="DU316" i="8" s="1"/>
  <c r="AN317" i="8"/>
  <c r="BQ317" i="8" s="1"/>
  <c r="CI317" i="8" s="1"/>
  <c r="AD317" i="8"/>
  <c r="AG317" i="8" s="1"/>
  <c r="AJ317" i="8" s="1"/>
  <c r="DT317" i="8"/>
  <c r="AY317" i="8"/>
  <c r="BU317" i="8"/>
  <c r="AS317" i="8"/>
  <c r="AT317" i="8"/>
  <c r="BV317" i="8"/>
  <c r="DI317" i="8" l="1"/>
  <c r="DL317" i="8" s="1"/>
  <c r="DO317" i="8" s="1"/>
  <c r="DR317" i="8" s="1"/>
  <c r="DU317" i="8" s="1"/>
  <c r="AA319" i="8"/>
  <c r="X319" i="8"/>
  <c r="AK319" i="8" s="1"/>
  <c r="S319" i="8"/>
  <c r="R319" i="8"/>
  <c r="W319" i="8"/>
  <c r="AI319" i="8" s="1"/>
  <c r="U319" i="8"/>
  <c r="Y319" i="8"/>
  <c r="AL319" i="8" s="1"/>
  <c r="Q320" i="8"/>
  <c r="T319" i="8"/>
  <c r="Z319" i="8"/>
  <c r="AM319" i="8" s="1"/>
  <c r="AU319" i="8" s="1"/>
  <c r="V319" i="8"/>
  <c r="AH319" i="8" s="1"/>
  <c r="DQ318" i="8"/>
  <c r="AX318" i="8"/>
  <c r="AN318" i="8"/>
  <c r="BQ318" i="8" s="1"/>
  <c r="CI318" i="8" s="1"/>
  <c r="AD318" i="8"/>
  <c r="AG318" i="8" s="1"/>
  <c r="AJ318" i="8" s="1"/>
  <c r="DT318" i="8"/>
  <c r="AY318" i="8"/>
  <c r="AT318" i="8"/>
  <c r="BV318" i="8"/>
  <c r="BU318" i="8"/>
  <c r="AS318" i="8"/>
  <c r="DT319" i="8" l="1"/>
  <c r="AY319" i="8"/>
  <c r="AX319" i="8"/>
  <c r="DQ319" i="8"/>
  <c r="DI318" i="8"/>
  <c r="DL318" i="8" s="1"/>
  <c r="DO318" i="8" s="1"/>
  <c r="DR318" i="8" s="1"/>
  <c r="DU318" i="8" s="1"/>
  <c r="AN319" i="8"/>
  <c r="BQ319" i="8" s="1"/>
  <c r="CI319" i="8" s="1"/>
  <c r="AD319" i="8"/>
  <c r="AG319" i="8" s="1"/>
  <c r="AJ319" i="8" s="1"/>
  <c r="Z320" i="8"/>
  <c r="AM320" i="8" s="1"/>
  <c r="AU320" i="8" s="1"/>
  <c r="T320" i="8"/>
  <c r="Y320" i="8"/>
  <c r="AL320" i="8" s="1"/>
  <c r="U320" i="8"/>
  <c r="S320" i="8"/>
  <c r="X320" i="8"/>
  <c r="AK320" i="8" s="1"/>
  <c r="AA320" i="8"/>
  <c r="R320" i="8"/>
  <c r="W320" i="8"/>
  <c r="AI320" i="8" s="1"/>
  <c r="Q321" i="8"/>
  <c r="V320" i="8"/>
  <c r="AH320" i="8" s="1"/>
  <c r="AS319" i="8"/>
  <c r="BU319" i="8"/>
  <c r="AT319" i="8"/>
  <c r="BV319" i="8"/>
  <c r="AN320" i="8" l="1"/>
  <c r="BQ320" i="8" s="1"/>
  <c r="CI320" i="8" s="1"/>
  <c r="AD320" i="8"/>
  <c r="AG320" i="8" s="1"/>
  <c r="AJ320" i="8" s="1"/>
  <c r="DI319" i="8"/>
  <c r="DL319" i="8" s="1"/>
  <c r="DO319" i="8" s="1"/>
  <c r="DR319" i="8" s="1"/>
  <c r="DU319" i="8" s="1"/>
  <c r="AY320" i="8"/>
  <c r="DT320" i="8"/>
  <c r="W321" i="8"/>
  <c r="AI321" i="8" s="1"/>
  <c r="S321" i="8"/>
  <c r="Q322" i="8"/>
  <c r="T321" i="8"/>
  <c r="U321" i="8"/>
  <c r="X321" i="8"/>
  <c r="AK321" i="8" s="1"/>
  <c r="AA321" i="8"/>
  <c r="R321" i="8"/>
  <c r="Z321" i="8"/>
  <c r="AM321" i="8" s="1"/>
  <c r="AU321" i="8" s="1"/>
  <c r="V321" i="8"/>
  <c r="AH321" i="8" s="1"/>
  <c r="Y321" i="8"/>
  <c r="AL321" i="8" s="1"/>
  <c r="DQ320" i="8"/>
  <c r="AX320" i="8"/>
  <c r="AS320" i="8"/>
  <c r="BU320" i="8"/>
  <c r="AT320" i="8"/>
  <c r="BV320" i="8"/>
  <c r="AY321" i="8" l="1"/>
  <c r="DT321" i="8"/>
  <c r="AA322" i="8"/>
  <c r="R322" i="8"/>
  <c r="X322" i="8"/>
  <c r="AK322" i="8" s="1"/>
  <c r="V322" i="8"/>
  <c r="AH322" i="8" s="1"/>
  <c r="Z322" i="8"/>
  <c r="AM322" i="8" s="1"/>
  <c r="W322" i="8"/>
  <c r="AI322" i="8" s="1"/>
  <c r="Y322" i="8"/>
  <c r="AL322" i="8" s="1"/>
  <c r="S322" i="8"/>
  <c r="U322" i="8"/>
  <c r="T322" i="8"/>
  <c r="Q323" i="8"/>
  <c r="AX321" i="8"/>
  <c r="DQ321" i="8"/>
  <c r="AN321" i="8"/>
  <c r="BQ321" i="8" s="1"/>
  <c r="CI321" i="8" s="1"/>
  <c r="AD321" i="8"/>
  <c r="AG321" i="8" s="1"/>
  <c r="AJ321" i="8" s="1"/>
  <c r="DI320" i="8"/>
  <c r="DL320" i="8" s="1"/>
  <c r="DO320" i="8" s="1"/>
  <c r="DR320" i="8" s="1"/>
  <c r="DU320" i="8" s="1"/>
  <c r="AS321" i="8"/>
  <c r="BU321" i="8"/>
  <c r="BV321" i="8"/>
  <c r="AT321" i="8"/>
  <c r="AX322" i="8" l="1"/>
  <c r="DQ322" i="8"/>
  <c r="AU322" i="8"/>
  <c r="DI321" i="8"/>
  <c r="DL321" i="8" s="1"/>
  <c r="DO321" i="8" s="1"/>
  <c r="DR321" i="8" s="1"/>
  <c r="DU321" i="8" s="1"/>
  <c r="Z323" i="8"/>
  <c r="AM323" i="8" s="1"/>
  <c r="AU323" i="8" s="1"/>
  <c r="T323" i="8"/>
  <c r="Y323" i="8"/>
  <c r="AL323" i="8" s="1"/>
  <c r="R323" i="8"/>
  <c r="U323" i="8"/>
  <c r="X323" i="8"/>
  <c r="AK323" i="8" s="1"/>
  <c r="W323" i="8"/>
  <c r="AI323" i="8" s="1"/>
  <c r="S323" i="8"/>
  <c r="Q324" i="8"/>
  <c r="V323" i="8"/>
  <c r="AH323" i="8" s="1"/>
  <c r="AA323" i="8"/>
  <c r="AD322" i="8"/>
  <c r="AG322" i="8" s="1"/>
  <c r="AJ322" i="8" s="1"/>
  <c r="AN322" i="8"/>
  <c r="BQ322" i="8" s="1"/>
  <c r="CI322" i="8" s="1"/>
  <c r="AY322" i="8"/>
  <c r="DT322" i="8"/>
  <c r="AS322" i="8"/>
  <c r="BU322" i="8"/>
  <c r="BV322" i="8"/>
  <c r="AT322" i="8"/>
  <c r="DQ323" i="8" l="1"/>
  <c r="AX323" i="8"/>
  <c r="DI322" i="8"/>
  <c r="DL322" i="8" s="1"/>
  <c r="DO322" i="8" s="1"/>
  <c r="DR322" i="8" s="1"/>
  <c r="DU322" i="8" s="1"/>
  <c r="AD323" i="8"/>
  <c r="AG323" i="8" s="1"/>
  <c r="AJ323" i="8" s="1"/>
  <c r="AN323" i="8"/>
  <c r="BQ323" i="8" s="1"/>
  <c r="CI323" i="8" s="1"/>
  <c r="DT323" i="8"/>
  <c r="AY323" i="8"/>
  <c r="Z324" i="8"/>
  <c r="AM324" i="8" s="1"/>
  <c r="AU324" i="8" s="1"/>
  <c r="R324" i="8"/>
  <c r="U324" i="8"/>
  <c r="AA324" i="8"/>
  <c r="V324" i="8"/>
  <c r="AH324" i="8" s="1"/>
  <c r="W324" i="8"/>
  <c r="AI324" i="8" s="1"/>
  <c r="Y324" i="8"/>
  <c r="AL324" i="8" s="1"/>
  <c r="S324" i="8"/>
  <c r="X324" i="8"/>
  <c r="AK324" i="8" s="1"/>
  <c r="Q325" i="8"/>
  <c r="T324" i="8"/>
  <c r="BV323" i="8"/>
  <c r="AT323" i="8"/>
  <c r="BU323" i="8"/>
  <c r="AS323" i="8"/>
  <c r="AY324" i="8" l="1"/>
  <c r="DT324" i="8"/>
  <c r="DQ324" i="8"/>
  <c r="AX324" i="8"/>
  <c r="AN324" i="8"/>
  <c r="BQ324" i="8" s="1"/>
  <c r="CI324" i="8" s="1"/>
  <c r="AD324" i="8"/>
  <c r="AG324" i="8" s="1"/>
  <c r="AJ324" i="8" s="1"/>
  <c r="DI323" i="8"/>
  <c r="DL323" i="8" s="1"/>
  <c r="DO323" i="8" s="1"/>
  <c r="DR323" i="8" s="1"/>
  <c r="DU323" i="8" s="1"/>
  <c r="S325" i="8"/>
  <c r="U325" i="8"/>
  <c r="W325" i="8"/>
  <c r="AI325" i="8" s="1"/>
  <c r="R325" i="8"/>
  <c r="Q326" i="8"/>
  <c r="X325" i="8"/>
  <c r="AK325" i="8" s="1"/>
  <c r="T325" i="8"/>
  <c r="Y325" i="8"/>
  <c r="AL325" i="8" s="1"/>
  <c r="AA325" i="8"/>
  <c r="V325" i="8"/>
  <c r="AH325" i="8" s="1"/>
  <c r="Z325" i="8"/>
  <c r="AM325" i="8" s="1"/>
  <c r="AU325" i="8" s="1"/>
  <c r="AS324" i="8"/>
  <c r="BU324" i="8"/>
  <c r="AT324" i="8"/>
  <c r="BV324" i="8"/>
  <c r="AX325" i="8" l="1"/>
  <c r="DQ325" i="8"/>
  <c r="DI324" i="8"/>
  <c r="DL324" i="8" s="1"/>
  <c r="DO324" i="8" s="1"/>
  <c r="DR324" i="8" s="1"/>
  <c r="DU324" i="8" s="1"/>
  <c r="AN325" i="8"/>
  <c r="BQ325" i="8" s="1"/>
  <c r="CI325" i="8" s="1"/>
  <c r="AD325" i="8"/>
  <c r="AG325" i="8" s="1"/>
  <c r="AJ325" i="8" s="1"/>
  <c r="DT325" i="8"/>
  <c r="AY325" i="8"/>
  <c r="Z326" i="8"/>
  <c r="AM326" i="8" s="1"/>
  <c r="AU326" i="8" s="1"/>
  <c r="T326" i="8"/>
  <c r="Y326" i="8"/>
  <c r="AL326" i="8" s="1"/>
  <c r="U326" i="8"/>
  <c r="W326" i="8"/>
  <c r="AI326" i="8" s="1"/>
  <c r="S326" i="8"/>
  <c r="R326" i="8"/>
  <c r="AA326" i="8"/>
  <c r="Q327" i="8"/>
  <c r="X326" i="8"/>
  <c r="AK326" i="8" s="1"/>
  <c r="V326" i="8"/>
  <c r="AH326" i="8" s="1"/>
  <c r="BV325" i="8"/>
  <c r="AT325" i="8"/>
  <c r="AS325" i="8"/>
  <c r="BU325" i="8"/>
  <c r="AD326" i="8" l="1"/>
  <c r="AG326" i="8" s="1"/>
  <c r="AJ326" i="8" s="1"/>
  <c r="AN326" i="8"/>
  <c r="BQ326" i="8" s="1"/>
  <c r="CI326" i="8" s="1"/>
  <c r="DI325" i="8"/>
  <c r="DL325" i="8" s="1"/>
  <c r="DO325" i="8" s="1"/>
  <c r="DR325" i="8" s="1"/>
  <c r="DU325" i="8" s="1"/>
  <c r="AX326" i="8"/>
  <c r="DQ326" i="8"/>
  <c r="DT326" i="8"/>
  <c r="AY326" i="8"/>
  <c r="Z327" i="8"/>
  <c r="AM327" i="8" s="1"/>
  <c r="AU327" i="8" s="1"/>
  <c r="V327" i="8"/>
  <c r="AH327" i="8" s="1"/>
  <c r="W327" i="8"/>
  <c r="AI327" i="8" s="1"/>
  <c r="Y327" i="8"/>
  <c r="AL327" i="8" s="1"/>
  <c r="S327" i="8"/>
  <c r="U327" i="8"/>
  <c r="R327" i="8"/>
  <c r="Q328" i="8"/>
  <c r="X327" i="8"/>
  <c r="AK327" i="8" s="1"/>
  <c r="T327" i="8"/>
  <c r="AA327" i="8"/>
  <c r="AS326" i="8"/>
  <c r="BU326" i="8"/>
  <c r="AT326" i="8"/>
  <c r="BV326" i="8"/>
  <c r="DT327" i="8" l="1"/>
  <c r="AY327" i="8"/>
  <c r="AX327" i="8"/>
  <c r="DQ327" i="8"/>
  <c r="DI326" i="8"/>
  <c r="DL326" i="8" s="1"/>
  <c r="DO326" i="8" s="1"/>
  <c r="DR326" i="8" s="1"/>
  <c r="DU326" i="8" s="1"/>
  <c r="AN327" i="8"/>
  <c r="BQ327" i="8" s="1"/>
  <c r="CI327" i="8" s="1"/>
  <c r="AD327" i="8"/>
  <c r="AG327" i="8" s="1"/>
  <c r="AJ327" i="8" s="1"/>
  <c r="U328" i="8"/>
  <c r="S328" i="8"/>
  <c r="R328" i="8"/>
  <c r="AA328" i="8"/>
  <c r="V328" i="8"/>
  <c r="AH328" i="8" s="1"/>
  <c r="Q329" i="8"/>
  <c r="Z328" i="8"/>
  <c r="AM328" i="8" s="1"/>
  <c r="AU328" i="8" s="1"/>
  <c r="X328" i="8"/>
  <c r="AK328" i="8" s="1"/>
  <c r="T328" i="8"/>
  <c r="W328" i="8"/>
  <c r="AI328" i="8" s="1"/>
  <c r="Y328" i="8"/>
  <c r="AL328" i="8" s="1"/>
  <c r="BU327" i="8"/>
  <c r="AS327" i="8"/>
  <c r="BV327" i="8"/>
  <c r="AT327" i="8"/>
  <c r="AY328" i="8" l="1"/>
  <c r="DT328" i="8"/>
  <c r="U329" i="8"/>
  <c r="X329" i="8"/>
  <c r="AK329" i="8" s="1"/>
  <c r="R329" i="8"/>
  <c r="AA329" i="8"/>
  <c r="T329" i="8"/>
  <c r="Q330" i="8"/>
  <c r="Z329" i="8"/>
  <c r="AM329" i="8" s="1"/>
  <c r="AU329" i="8" s="1"/>
  <c r="V329" i="8"/>
  <c r="AH329" i="8" s="1"/>
  <c r="W329" i="8"/>
  <c r="AI329" i="8" s="1"/>
  <c r="Y329" i="8"/>
  <c r="AL329" i="8" s="1"/>
  <c r="S329" i="8"/>
  <c r="AD328" i="8"/>
  <c r="AG328" i="8" s="1"/>
  <c r="AJ328" i="8" s="1"/>
  <c r="AN328" i="8"/>
  <c r="BQ328" i="8" s="1"/>
  <c r="CI328" i="8" s="1"/>
  <c r="AX328" i="8"/>
  <c r="DQ328" i="8"/>
  <c r="DI327" i="8"/>
  <c r="DL327" i="8" s="1"/>
  <c r="DO327" i="8" s="1"/>
  <c r="DR327" i="8" s="1"/>
  <c r="DU327" i="8" s="1"/>
  <c r="BU328" i="8"/>
  <c r="AS328" i="8"/>
  <c r="BV328" i="8"/>
  <c r="AT328" i="8"/>
  <c r="AY329" i="8" l="1"/>
  <c r="DT329" i="8"/>
  <c r="AD329" i="8"/>
  <c r="AG329" i="8" s="1"/>
  <c r="AJ329" i="8" s="1"/>
  <c r="AN329" i="8"/>
  <c r="BQ329" i="8" s="1"/>
  <c r="CI329" i="8" s="1"/>
  <c r="DQ329" i="8"/>
  <c r="AX329" i="8"/>
  <c r="DI328" i="8"/>
  <c r="DL328" i="8" s="1"/>
  <c r="DO328" i="8" s="1"/>
  <c r="DR328" i="8" s="1"/>
  <c r="DU328" i="8" s="1"/>
  <c r="W330" i="8"/>
  <c r="AI330" i="8" s="1"/>
  <c r="S330" i="8"/>
  <c r="Y330" i="8"/>
  <c r="AL330" i="8" s="1"/>
  <c r="U330" i="8"/>
  <c r="AA330" i="8"/>
  <c r="R330" i="8"/>
  <c r="Q331" i="8"/>
  <c r="V330" i="8"/>
  <c r="AH330" i="8" s="1"/>
  <c r="Z330" i="8"/>
  <c r="AM330" i="8" s="1"/>
  <c r="AU330" i="8" s="1"/>
  <c r="X330" i="8"/>
  <c r="AK330" i="8" s="1"/>
  <c r="T330" i="8"/>
  <c r="AS329" i="8"/>
  <c r="BU329" i="8"/>
  <c r="BV329" i="8"/>
  <c r="AT329" i="8"/>
  <c r="AY330" i="8" l="1"/>
  <c r="DT330" i="8"/>
  <c r="DI329" i="8"/>
  <c r="DL329" i="8" s="1"/>
  <c r="DO329" i="8" s="1"/>
  <c r="DR329" i="8" s="1"/>
  <c r="DU329" i="8" s="1"/>
  <c r="AX330" i="8"/>
  <c r="DQ330" i="8"/>
  <c r="S331" i="8"/>
  <c r="R331" i="8"/>
  <c r="AA331" i="8"/>
  <c r="X331" i="8"/>
  <c r="AK331" i="8" s="1"/>
  <c r="U331" i="8"/>
  <c r="Z331" i="8"/>
  <c r="AM331" i="8" s="1"/>
  <c r="AU331" i="8" s="1"/>
  <c r="T331" i="8"/>
  <c r="Q332" i="8"/>
  <c r="V331" i="8"/>
  <c r="AH331" i="8" s="1"/>
  <c r="Y331" i="8"/>
  <c r="AL331" i="8" s="1"/>
  <c r="W331" i="8"/>
  <c r="AI331" i="8" s="1"/>
  <c r="AN330" i="8"/>
  <c r="BQ330" i="8" s="1"/>
  <c r="CI330" i="8" s="1"/>
  <c r="AD330" i="8"/>
  <c r="AG330" i="8" s="1"/>
  <c r="AJ330" i="8" s="1"/>
  <c r="AS330" i="8"/>
  <c r="BU330" i="8"/>
  <c r="BV330" i="8"/>
  <c r="AT330" i="8"/>
  <c r="DI330" i="8" l="1"/>
  <c r="DL330" i="8" s="1"/>
  <c r="DO330" i="8" s="1"/>
  <c r="DR330" i="8" s="1"/>
  <c r="DU330" i="8" s="1"/>
  <c r="DQ331" i="8"/>
  <c r="AX331" i="8"/>
  <c r="AN331" i="8"/>
  <c r="BQ331" i="8" s="1"/>
  <c r="CI331" i="8" s="1"/>
  <c r="AD331" i="8"/>
  <c r="AG331" i="8" s="1"/>
  <c r="AJ331" i="8" s="1"/>
  <c r="DT331" i="8"/>
  <c r="AY331" i="8"/>
  <c r="Y332" i="8"/>
  <c r="AL332" i="8" s="1"/>
  <c r="U332" i="8"/>
  <c r="S332" i="8"/>
  <c r="W332" i="8"/>
  <c r="AI332" i="8" s="1"/>
  <c r="R332" i="8"/>
  <c r="V332" i="8"/>
  <c r="AH332" i="8" s="1"/>
  <c r="AA332" i="8"/>
  <c r="Q333" i="8"/>
  <c r="T332" i="8"/>
  <c r="X332" i="8"/>
  <c r="AK332" i="8" s="1"/>
  <c r="Z332" i="8"/>
  <c r="AM332" i="8" s="1"/>
  <c r="AU332" i="8" s="1"/>
  <c r="AS331" i="8"/>
  <c r="BU331" i="8"/>
  <c r="BV331" i="8"/>
  <c r="AT331" i="8"/>
  <c r="DQ332" i="8" l="1"/>
  <c r="AX332" i="8"/>
  <c r="DT332" i="8"/>
  <c r="AY332" i="8"/>
  <c r="Z333" i="8"/>
  <c r="AM333" i="8" s="1"/>
  <c r="AU333" i="8" s="1"/>
  <c r="R333" i="8"/>
  <c r="AA333" i="8"/>
  <c r="V333" i="8"/>
  <c r="AH333" i="8" s="1"/>
  <c r="Q334" i="8"/>
  <c r="T333" i="8"/>
  <c r="Y333" i="8"/>
  <c r="AL333" i="8" s="1"/>
  <c r="X333" i="8"/>
  <c r="AK333" i="8" s="1"/>
  <c r="U333" i="8"/>
  <c r="S333" i="8"/>
  <c r="W333" i="8"/>
  <c r="AI333" i="8" s="1"/>
  <c r="DI331" i="8"/>
  <c r="DL331" i="8" s="1"/>
  <c r="DO331" i="8" s="1"/>
  <c r="DR331" i="8" s="1"/>
  <c r="DU331" i="8" s="1"/>
  <c r="AD332" i="8"/>
  <c r="AG332" i="8" s="1"/>
  <c r="AJ332" i="8" s="1"/>
  <c r="AN332" i="8"/>
  <c r="BQ332" i="8" s="1"/>
  <c r="CI332" i="8" s="1"/>
  <c r="AS332" i="8"/>
  <c r="BU332" i="8"/>
  <c r="BV332" i="8"/>
  <c r="AT332" i="8"/>
  <c r="U334" i="8" l="1"/>
  <c r="Q335" i="8"/>
  <c r="T334" i="8"/>
  <c r="AA334" i="8"/>
  <c r="V334" i="8"/>
  <c r="AH334" i="8" s="1"/>
  <c r="X334" i="8"/>
  <c r="AK334" i="8" s="1"/>
  <c r="Z334" i="8"/>
  <c r="AM334" i="8" s="1"/>
  <c r="AU334" i="8" s="1"/>
  <c r="R334" i="8"/>
  <c r="W334" i="8"/>
  <c r="AI334" i="8" s="1"/>
  <c r="Y334" i="8"/>
  <c r="AL334" i="8" s="1"/>
  <c r="S334" i="8"/>
  <c r="AX333" i="8"/>
  <c r="DQ333" i="8"/>
  <c r="AD333" i="8"/>
  <c r="AG333" i="8" s="1"/>
  <c r="AJ333" i="8" s="1"/>
  <c r="AN333" i="8"/>
  <c r="BQ333" i="8" s="1"/>
  <c r="CI333" i="8" s="1"/>
  <c r="DI332" i="8"/>
  <c r="DL332" i="8" s="1"/>
  <c r="DO332" i="8" s="1"/>
  <c r="DR332" i="8" s="1"/>
  <c r="DU332" i="8" s="1"/>
  <c r="DT333" i="8"/>
  <c r="AY333" i="8"/>
  <c r="BV333" i="8"/>
  <c r="AT333" i="8"/>
  <c r="AS333" i="8"/>
  <c r="BU333" i="8"/>
  <c r="AD334" i="8" l="1"/>
  <c r="AG334" i="8" s="1"/>
  <c r="AJ334" i="8" s="1"/>
  <c r="AN334" i="8"/>
  <c r="BQ334" i="8" s="1"/>
  <c r="CI334" i="8" s="1"/>
  <c r="AY334" i="8"/>
  <c r="DT334" i="8"/>
  <c r="U335" i="8"/>
  <c r="Y335" i="8"/>
  <c r="AL335" i="8" s="1"/>
  <c r="V335" i="8"/>
  <c r="AH335" i="8" s="1"/>
  <c r="X335" i="8"/>
  <c r="AK335" i="8" s="1"/>
  <c r="Q336" i="8"/>
  <c r="R335" i="8"/>
  <c r="Z335" i="8"/>
  <c r="AM335" i="8" s="1"/>
  <c r="AU335" i="8" s="1"/>
  <c r="T335" i="8"/>
  <c r="AA335" i="8"/>
  <c r="S335" i="8"/>
  <c r="W335" i="8"/>
  <c r="AI335" i="8" s="1"/>
  <c r="DI333" i="8"/>
  <c r="DL333" i="8" s="1"/>
  <c r="DO333" i="8" s="1"/>
  <c r="DR333" i="8" s="1"/>
  <c r="DU333" i="8" s="1"/>
  <c r="AX334" i="8"/>
  <c r="DQ334" i="8"/>
  <c r="BV334" i="8"/>
  <c r="AT334" i="8"/>
  <c r="AS334" i="8"/>
  <c r="BU334" i="8"/>
  <c r="AY335" i="8" l="1"/>
  <c r="DT335" i="8"/>
  <c r="AD335" i="8"/>
  <c r="AG335" i="8" s="1"/>
  <c r="AJ335" i="8" s="1"/>
  <c r="AN335" i="8"/>
  <c r="BQ335" i="8" s="1"/>
  <c r="CI335" i="8" s="1"/>
  <c r="DI334" i="8"/>
  <c r="DL334" i="8" s="1"/>
  <c r="DO334" i="8" s="1"/>
  <c r="DR334" i="8" s="1"/>
  <c r="DU334" i="8" s="1"/>
  <c r="Q337" i="8"/>
  <c r="T336" i="8"/>
  <c r="Z336" i="8"/>
  <c r="AM336" i="8" s="1"/>
  <c r="AU336" i="8" s="1"/>
  <c r="X336" i="8"/>
  <c r="AK336" i="8" s="1"/>
  <c r="AA336" i="8"/>
  <c r="V336" i="8"/>
  <c r="AH336" i="8" s="1"/>
  <c r="W336" i="8"/>
  <c r="AI336" i="8" s="1"/>
  <c r="U336" i="8"/>
  <c r="S336" i="8"/>
  <c r="Y336" i="8"/>
  <c r="AL336" i="8" s="1"/>
  <c r="R336" i="8"/>
  <c r="AX335" i="8"/>
  <c r="DQ335" i="8"/>
  <c r="BU335" i="8"/>
  <c r="AS335" i="8"/>
  <c r="BV335" i="8"/>
  <c r="AT335" i="8"/>
  <c r="AY336" i="8" l="1"/>
  <c r="DT336" i="8"/>
  <c r="DI335" i="8"/>
  <c r="DL335" i="8" s="1"/>
  <c r="DO335" i="8" s="1"/>
  <c r="DR335" i="8" s="1"/>
  <c r="DU335" i="8" s="1"/>
  <c r="S337" i="8"/>
  <c r="U337" i="8"/>
  <c r="X337" i="8"/>
  <c r="AK337" i="8" s="1"/>
  <c r="Z337" i="8"/>
  <c r="AM337" i="8" s="1"/>
  <c r="AU337" i="8" s="1"/>
  <c r="T337" i="8"/>
  <c r="AA337" i="8"/>
  <c r="W337" i="8"/>
  <c r="AI337" i="8" s="1"/>
  <c r="Q338" i="8"/>
  <c r="V337" i="8"/>
  <c r="AH337" i="8" s="1"/>
  <c r="R337" i="8"/>
  <c r="Y337" i="8"/>
  <c r="AL337" i="8" s="1"/>
  <c r="AX336" i="8"/>
  <c r="DQ336" i="8"/>
  <c r="AD336" i="8"/>
  <c r="AG336" i="8" s="1"/>
  <c r="AJ336" i="8" s="1"/>
  <c r="AN336" i="8"/>
  <c r="BQ336" i="8" s="1"/>
  <c r="CI336" i="8" s="1"/>
  <c r="AS336" i="8"/>
  <c r="BU336" i="8"/>
  <c r="BV336" i="8"/>
  <c r="AT336" i="8"/>
  <c r="DI336" i="8" l="1"/>
  <c r="DL336" i="8" s="1"/>
  <c r="DO336" i="8" s="1"/>
  <c r="DR336" i="8" s="1"/>
  <c r="DU336" i="8" s="1"/>
  <c r="Y338" i="8"/>
  <c r="AL338" i="8" s="1"/>
  <c r="U338" i="8"/>
  <c r="S338" i="8"/>
  <c r="X338" i="8"/>
  <c r="AK338" i="8" s="1"/>
  <c r="T338" i="8"/>
  <c r="Q339" i="8"/>
  <c r="Z338" i="8"/>
  <c r="AM338" i="8" s="1"/>
  <c r="AU338" i="8" s="1"/>
  <c r="W338" i="8"/>
  <c r="AI338" i="8" s="1"/>
  <c r="V338" i="8"/>
  <c r="AH338" i="8" s="1"/>
  <c r="AA338" i="8"/>
  <c r="R338" i="8"/>
  <c r="DQ337" i="8"/>
  <c r="AX337" i="8"/>
  <c r="AN337" i="8"/>
  <c r="BQ337" i="8" s="1"/>
  <c r="CI337" i="8" s="1"/>
  <c r="AD337" i="8"/>
  <c r="AG337" i="8" s="1"/>
  <c r="AJ337" i="8" s="1"/>
  <c r="AY337" i="8"/>
  <c r="DT337" i="8"/>
  <c r="AT337" i="8"/>
  <c r="BV337" i="8"/>
  <c r="AS337" i="8"/>
  <c r="BU337" i="8"/>
  <c r="DI337" i="8" l="1"/>
  <c r="DL337" i="8" s="1"/>
  <c r="DO337" i="8" s="1"/>
  <c r="DR337" i="8" s="1"/>
  <c r="DU337" i="8" s="1"/>
  <c r="R339" i="8"/>
  <c r="X339" i="8"/>
  <c r="AK339" i="8" s="1"/>
  <c r="S339" i="8"/>
  <c r="Q340" i="8"/>
  <c r="Z339" i="8"/>
  <c r="AM339" i="8" s="1"/>
  <c r="AU339" i="8" s="1"/>
  <c r="Y339" i="8"/>
  <c r="AL339" i="8" s="1"/>
  <c r="W339" i="8"/>
  <c r="AI339" i="8" s="1"/>
  <c r="U339" i="8"/>
  <c r="V339" i="8"/>
  <c r="AH339" i="8" s="1"/>
  <c r="AA339" i="8"/>
  <c r="T339" i="8"/>
  <c r="AD338" i="8"/>
  <c r="AG338" i="8" s="1"/>
  <c r="AJ338" i="8" s="1"/>
  <c r="AN338" i="8"/>
  <c r="BQ338" i="8" s="1"/>
  <c r="CI338" i="8" s="1"/>
  <c r="AY338" i="8"/>
  <c r="DT338" i="8"/>
  <c r="DQ338" i="8"/>
  <c r="AX338" i="8"/>
  <c r="AT338" i="8"/>
  <c r="BV338" i="8"/>
  <c r="AS338" i="8"/>
  <c r="BU338" i="8"/>
  <c r="DI338" i="8" l="1"/>
  <c r="DL338" i="8" s="1"/>
  <c r="DO338" i="8" s="1"/>
  <c r="DR338" i="8" s="1"/>
  <c r="DU338" i="8" s="1"/>
  <c r="AN339" i="8"/>
  <c r="BQ339" i="8" s="1"/>
  <c r="CI339" i="8" s="1"/>
  <c r="AD339" i="8"/>
  <c r="AG339" i="8" s="1"/>
  <c r="AJ339" i="8" s="1"/>
  <c r="DQ339" i="8"/>
  <c r="AX339" i="8"/>
  <c r="AY339" i="8"/>
  <c r="DT339" i="8"/>
  <c r="Q341" i="8"/>
  <c r="T340" i="8"/>
  <c r="Z340" i="8"/>
  <c r="AM340" i="8" s="1"/>
  <c r="AU340" i="8" s="1"/>
  <c r="V340" i="8"/>
  <c r="AH340" i="8" s="1"/>
  <c r="S340" i="8"/>
  <c r="W340" i="8"/>
  <c r="AI340" i="8" s="1"/>
  <c r="U340" i="8"/>
  <c r="X340" i="8"/>
  <c r="AK340" i="8" s="1"/>
  <c r="AA340" i="8"/>
  <c r="R340" i="8"/>
  <c r="Y340" i="8"/>
  <c r="AL340" i="8" s="1"/>
  <c r="BU339" i="8"/>
  <c r="AS339" i="8"/>
  <c r="BV339" i="8"/>
  <c r="AT339" i="8"/>
  <c r="DI339" i="8" l="1"/>
  <c r="DL339" i="8" s="1"/>
  <c r="DO339" i="8" s="1"/>
  <c r="DR339" i="8" s="1"/>
  <c r="DU339" i="8" s="1"/>
  <c r="AN340" i="8"/>
  <c r="BQ340" i="8" s="1"/>
  <c r="CI340" i="8" s="1"/>
  <c r="AD340" i="8"/>
  <c r="AG340" i="8" s="1"/>
  <c r="AJ340" i="8" s="1"/>
  <c r="Q342" i="8"/>
  <c r="X341" i="8"/>
  <c r="AK341" i="8" s="1"/>
  <c r="Z341" i="8"/>
  <c r="AM341" i="8" s="1"/>
  <c r="AU341" i="8" s="1"/>
  <c r="T341" i="8"/>
  <c r="Y341" i="8"/>
  <c r="AL341" i="8" s="1"/>
  <c r="R341" i="8"/>
  <c r="V341" i="8"/>
  <c r="AH341" i="8" s="1"/>
  <c r="W341" i="8"/>
  <c r="AI341" i="8" s="1"/>
  <c r="S341" i="8"/>
  <c r="U341" i="8"/>
  <c r="AA341" i="8"/>
  <c r="AY340" i="8"/>
  <c r="DT340" i="8"/>
  <c r="AX340" i="8"/>
  <c r="DQ340" i="8"/>
  <c r="AT340" i="8"/>
  <c r="BV340" i="8"/>
  <c r="BU340" i="8"/>
  <c r="AS340" i="8"/>
  <c r="DI340" i="8" l="1"/>
  <c r="DL340" i="8" s="1"/>
  <c r="DO340" i="8" s="1"/>
  <c r="DR340" i="8" s="1"/>
  <c r="DU340" i="8" s="1"/>
  <c r="AY341" i="8"/>
  <c r="DT341" i="8"/>
  <c r="AD341" i="8"/>
  <c r="AG341" i="8" s="1"/>
  <c r="AJ341" i="8" s="1"/>
  <c r="AN341" i="8"/>
  <c r="BQ341" i="8" s="1"/>
  <c r="CI341" i="8" s="1"/>
  <c r="Z342" i="8"/>
  <c r="AM342" i="8" s="1"/>
  <c r="AU342" i="8" s="1"/>
  <c r="V342" i="8"/>
  <c r="AH342" i="8" s="1"/>
  <c r="T342" i="8"/>
  <c r="R342" i="8"/>
  <c r="Y342" i="8"/>
  <c r="AL342" i="8" s="1"/>
  <c r="W342" i="8"/>
  <c r="AI342" i="8" s="1"/>
  <c r="U342" i="8"/>
  <c r="S342" i="8"/>
  <c r="X342" i="8"/>
  <c r="AK342" i="8" s="1"/>
  <c r="AA342" i="8"/>
  <c r="Q343" i="8"/>
  <c r="AX341" i="8"/>
  <c r="DQ341" i="8"/>
  <c r="AS341" i="8"/>
  <c r="BU341" i="8"/>
  <c r="BV341" i="8"/>
  <c r="AT341" i="8"/>
  <c r="R343" i="8" l="1"/>
  <c r="Y343" i="8"/>
  <c r="AL343" i="8" s="1"/>
  <c r="Q344" i="8"/>
  <c r="T343" i="8"/>
  <c r="AA343" i="8"/>
  <c r="X343" i="8"/>
  <c r="AK343" i="8" s="1"/>
  <c r="S343" i="8"/>
  <c r="Z343" i="8"/>
  <c r="AM343" i="8" s="1"/>
  <c r="AU343" i="8" s="1"/>
  <c r="V343" i="8"/>
  <c r="AH343" i="8" s="1"/>
  <c r="U343" i="8"/>
  <c r="W343" i="8"/>
  <c r="AI343" i="8" s="1"/>
  <c r="AN342" i="8"/>
  <c r="BQ342" i="8" s="1"/>
  <c r="CI342" i="8" s="1"/>
  <c r="AD342" i="8"/>
  <c r="AG342" i="8" s="1"/>
  <c r="AJ342" i="8" s="1"/>
  <c r="DI341" i="8"/>
  <c r="DL341" i="8" s="1"/>
  <c r="DO341" i="8" s="1"/>
  <c r="DR341" i="8" s="1"/>
  <c r="DU341" i="8" s="1"/>
  <c r="AX342" i="8"/>
  <c r="DQ342" i="8"/>
  <c r="AY342" i="8"/>
  <c r="DT342" i="8"/>
  <c r="BU342" i="8"/>
  <c r="AS342" i="8"/>
  <c r="AT342" i="8"/>
  <c r="BV342" i="8"/>
  <c r="AN343" i="8" l="1"/>
  <c r="BQ343" i="8" s="1"/>
  <c r="CI343" i="8" s="1"/>
  <c r="AD343" i="8"/>
  <c r="AG343" i="8" s="1"/>
  <c r="AJ343" i="8" s="1"/>
  <c r="DI342" i="8"/>
  <c r="DL342" i="8" s="1"/>
  <c r="DO342" i="8" s="1"/>
  <c r="DR342" i="8" s="1"/>
  <c r="DU342" i="8" s="1"/>
  <c r="AX343" i="8"/>
  <c r="DQ343" i="8"/>
  <c r="Y344" i="8"/>
  <c r="AL344" i="8" s="1"/>
  <c r="W344" i="8"/>
  <c r="AI344" i="8" s="1"/>
  <c r="T344" i="8"/>
  <c r="AA344" i="8"/>
  <c r="R344" i="8"/>
  <c r="Q345" i="8"/>
  <c r="Z344" i="8"/>
  <c r="AM344" i="8" s="1"/>
  <c r="AU344" i="8" s="1"/>
  <c r="V344" i="8"/>
  <c r="AH344" i="8" s="1"/>
  <c r="X344" i="8"/>
  <c r="AK344" i="8" s="1"/>
  <c r="S344" i="8"/>
  <c r="U344" i="8"/>
  <c r="DT343" i="8"/>
  <c r="AY343" i="8"/>
  <c r="BV343" i="8"/>
  <c r="AT343" i="8"/>
  <c r="AS343" i="8"/>
  <c r="BU343" i="8"/>
  <c r="AY344" i="8" l="1"/>
  <c r="DT344" i="8"/>
  <c r="DI343" i="8"/>
  <c r="DL343" i="8" s="1"/>
  <c r="DO343" i="8" s="1"/>
  <c r="DR343" i="8" s="1"/>
  <c r="DU343" i="8" s="1"/>
  <c r="Z345" i="8"/>
  <c r="AM345" i="8" s="1"/>
  <c r="AU345" i="8" s="1"/>
  <c r="R345" i="8"/>
  <c r="Y345" i="8"/>
  <c r="AL345" i="8" s="1"/>
  <c r="W345" i="8"/>
  <c r="AI345" i="8" s="1"/>
  <c r="S345" i="8"/>
  <c r="T345" i="8"/>
  <c r="X345" i="8"/>
  <c r="AK345" i="8" s="1"/>
  <c r="U345" i="8"/>
  <c r="AA345" i="8"/>
  <c r="Q346" i="8"/>
  <c r="V345" i="8"/>
  <c r="AH345" i="8" s="1"/>
  <c r="AN344" i="8"/>
  <c r="BQ344" i="8" s="1"/>
  <c r="CI344" i="8" s="1"/>
  <c r="AD344" i="8"/>
  <c r="AG344" i="8" s="1"/>
  <c r="AJ344" i="8" s="1"/>
  <c r="DQ344" i="8"/>
  <c r="AX344" i="8"/>
  <c r="AS344" i="8"/>
  <c r="BU344" i="8"/>
  <c r="AT344" i="8"/>
  <c r="BV344" i="8"/>
  <c r="DT345" i="8" l="1"/>
  <c r="AY345" i="8"/>
  <c r="R346" i="8"/>
  <c r="Y346" i="8"/>
  <c r="AL346" i="8" s="1"/>
  <c r="X346" i="8"/>
  <c r="AK346" i="8" s="1"/>
  <c r="Q347" i="8"/>
  <c r="V346" i="8"/>
  <c r="AH346" i="8" s="1"/>
  <c r="T346" i="8"/>
  <c r="AA346" i="8"/>
  <c r="W346" i="8"/>
  <c r="AI346" i="8" s="1"/>
  <c r="U346" i="8"/>
  <c r="Z346" i="8"/>
  <c r="AM346" i="8" s="1"/>
  <c r="AU346" i="8" s="1"/>
  <c r="S346" i="8"/>
  <c r="DI344" i="8"/>
  <c r="DL344" i="8" s="1"/>
  <c r="DO344" i="8" s="1"/>
  <c r="DR344" i="8" s="1"/>
  <c r="DU344" i="8" s="1"/>
  <c r="AD345" i="8"/>
  <c r="AG345" i="8" s="1"/>
  <c r="AJ345" i="8" s="1"/>
  <c r="AN345" i="8"/>
  <c r="BQ345" i="8" s="1"/>
  <c r="CI345" i="8" s="1"/>
  <c r="AX345" i="8"/>
  <c r="DQ345" i="8"/>
  <c r="BV345" i="8"/>
  <c r="AT345" i="8"/>
  <c r="BU345" i="8"/>
  <c r="AS345" i="8"/>
  <c r="U347" i="8" l="1"/>
  <c r="Q348" i="8"/>
  <c r="Y347" i="8"/>
  <c r="AL347" i="8" s="1"/>
  <c r="W347" i="8"/>
  <c r="AI347" i="8" s="1"/>
  <c r="X347" i="8"/>
  <c r="AK347" i="8" s="1"/>
  <c r="Z347" i="8"/>
  <c r="AM347" i="8" s="1"/>
  <c r="AU347" i="8" s="1"/>
  <c r="T347" i="8"/>
  <c r="V347" i="8"/>
  <c r="AH347" i="8" s="1"/>
  <c r="S347" i="8"/>
  <c r="AA347" i="8"/>
  <c r="R347" i="8"/>
  <c r="AY346" i="8"/>
  <c r="DT346" i="8"/>
  <c r="DQ346" i="8"/>
  <c r="AX346" i="8"/>
  <c r="DI345" i="8"/>
  <c r="DL345" i="8" s="1"/>
  <c r="DO345" i="8" s="1"/>
  <c r="DR345" i="8" s="1"/>
  <c r="DU345" i="8" s="1"/>
  <c r="AN346" i="8"/>
  <c r="BQ346" i="8" s="1"/>
  <c r="CI346" i="8" s="1"/>
  <c r="AD346" i="8"/>
  <c r="AG346" i="8" s="1"/>
  <c r="AJ346" i="8" s="1"/>
  <c r="BV346" i="8"/>
  <c r="AT346" i="8"/>
  <c r="BU346" i="8"/>
  <c r="AS346" i="8"/>
  <c r="DQ347" i="8" l="1"/>
  <c r="AX347" i="8"/>
  <c r="DI346" i="8"/>
  <c r="DL346" i="8" s="1"/>
  <c r="DO346" i="8" s="1"/>
  <c r="DR346" i="8" s="1"/>
  <c r="DU346" i="8" s="1"/>
  <c r="AY347" i="8"/>
  <c r="DT347" i="8"/>
  <c r="AN347" i="8"/>
  <c r="BQ347" i="8" s="1"/>
  <c r="CI347" i="8" s="1"/>
  <c r="AD347" i="8"/>
  <c r="AG347" i="8" s="1"/>
  <c r="AJ347" i="8" s="1"/>
  <c r="X348" i="8"/>
  <c r="AK348" i="8" s="1"/>
  <c r="AA348" i="8"/>
  <c r="R348" i="8"/>
  <c r="Q349" i="8"/>
  <c r="V348" i="8"/>
  <c r="AH348" i="8" s="1"/>
  <c r="Z348" i="8"/>
  <c r="AM348" i="8" s="1"/>
  <c r="AU348" i="8" s="1"/>
  <c r="Y348" i="8"/>
  <c r="AL348" i="8" s="1"/>
  <c r="S348" i="8"/>
  <c r="T348" i="8"/>
  <c r="U348" i="8"/>
  <c r="W348" i="8"/>
  <c r="AI348" i="8" s="1"/>
  <c r="BU347" i="8"/>
  <c r="AS347" i="8"/>
  <c r="BV347" i="8"/>
  <c r="AT347" i="8"/>
  <c r="T349" i="8" l="1"/>
  <c r="Q350" i="8"/>
  <c r="AA349" i="8"/>
  <c r="V349" i="8"/>
  <c r="AH349" i="8" s="1"/>
  <c r="X349" i="8"/>
  <c r="AK349" i="8" s="1"/>
  <c r="Z349" i="8"/>
  <c r="AM349" i="8" s="1"/>
  <c r="AU349" i="8" s="1"/>
  <c r="R349" i="8"/>
  <c r="Y349" i="8"/>
  <c r="AL349" i="8" s="1"/>
  <c r="U349" i="8"/>
  <c r="S349" i="8"/>
  <c r="W349" i="8"/>
  <c r="AI349" i="8" s="1"/>
  <c r="AN348" i="8"/>
  <c r="BQ348" i="8" s="1"/>
  <c r="CI348" i="8" s="1"/>
  <c r="AD348" i="8"/>
  <c r="AG348" i="8" s="1"/>
  <c r="AJ348" i="8" s="1"/>
  <c r="DQ348" i="8"/>
  <c r="AX348" i="8"/>
  <c r="DT348" i="8"/>
  <c r="AY348" i="8"/>
  <c r="DI347" i="8"/>
  <c r="DL347" i="8" s="1"/>
  <c r="DO347" i="8" s="1"/>
  <c r="DR347" i="8" s="1"/>
  <c r="DU347" i="8" s="1"/>
  <c r="AS348" i="8"/>
  <c r="BU348" i="8"/>
  <c r="AT348" i="8"/>
  <c r="BV348" i="8"/>
  <c r="DI348" i="8" l="1"/>
  <c r="DL348" i="8" s="1"/>
  <c r="DO348" i="8" s="1"/>
  <c r="DR348" i="8" s="1"/>
  <c r="DU348" i="8" s="1"/>
  <c r="DQ349" i="8"/>
  <c r="AX349" i="8"/>
  <c r="AD349" i="8"/>
  <c r="AG349" i="8" s="1"/>
  <c r="AJ349" i="8" s="1"/>
  <c r="AN349" i="8"/>
  <c r="BQ349" i="8" s="1"/>
  <c r="CI349" i="8" s="1"/>
  <c r="Q351" i="8"/>
  <c r="R350" i="8"/>
  <c r="AA350" i="8"/>
  <c r="X350" i="8"/>
  <c r="AK350" i="8" s="1"/>
  <c r="Y350" i="8"/>
  <c r="AL350" i="8" s="1"/>
  <c r="V350" i="8"/>
  <c r="AH350" i="8" s="1"/>
  <c r="W350" i="8"/>
  <c r="AI350" i="8" s="1"/>
  <c r="U350" i="8"/>
  <c r="Z350" i="8"/>
  <c r="AM350" i="8" s="1"/>
  <c r="AU350" i="8" s="1"/>
  <c r="S350" i="8"/>
  <c r="T350" i="8"/>
  <c r="AY349" i="8"/>
  <c r="DT349" i="8"/>
  <c r="AS349" i="8"/>
  <c r="BU349" i="8"/>
  <c r="AT349" i="8"/>
  <c r="BV349" i="8"/>
  <c r="AN350" i="8" l="1"/>
  <c r="BQ350" i="8" s="1"/>
  <c r="CI350" i="8" s="1"/>
  <c r="AD350" i="8"/>
  <c r="AG350" i="8" s="1"/>
  <c r="AJ350" i="8" s="1"/>
  <c r="S351" i="8"/>
  <c r="R351" i="8"/>
  <c r="AA351" i="8"/>
  <c r="X351" i="8"/>
  <c r="AK351" i="8" s="1"/>
  <c r="T351" i="8"/>
  <c r="U351" i="8"/>
  <c r="Q352" i="8"/>
  <c r="Z351" i="8"/>
  <c r="AM351" i="8" s="1"/>
  <c r="AU351" i="8" s="1"/>
  <c r="V351" i="8"/>
  <c r="AH351" i="8" s="1"/>
  <c r="Y351" i="8"/>
  <c r="AL351" i="8" s="1"/>
  <c r="W351" i="8"/>
  <c r="AI351" i="8" s="1"/>
  <c r="AX350" i="8"/>
  <c r="DQ350" i="8"/>
  <c r="DT350" i="8"/>
  <c r="AY350" i="8"/>
  <c r="DI349" i="8"/>
  <c r="DL349" i="8" s="1"/>
  <c r="DO349" i="8" s="1"/>
  <c r="DR349" i="8" s="1"/>
  <c r="DU349" i="8" s="1"/>
  <c r="BV350" i="8"/>
  <c r="AT350" i="8"/>
  <c r="BU350" i="8"/>
  <c r="AS350" i="8"/>
  <c r="AX351" i="8" l="1"/>
  <c r="DQ351" i="8"/>
  <c r="AN351" i="8"/>
  <c r="BQ351" i="8" s="1"/>
  <c r="CI351" i="8" s="1"/>
  <c r="AD351" i="8"/>
  <c r="AG351" i="8" s="1"/>
  <c r="AJ351" i="8" s="1"/>
  <c r="DT351" i="8"/>
  <c r="AY351" i="8"/>
  <c r="Q353" i="8"/>
  <c r="R352" i="8"/>
  <c r="AA352" i="8"/>
  <c r="X352" i="8"/>
  <c r="AK352" i="8" s="1"/>
  <c r="W352" i="8"/>
  <c r="AI352" i="8" s="1"/>
  <c r="U352" i="8"/>
  <c r="Z352" i="8"/>
  <c r="AM352" i="8" s="1"/>
  <c r="AU352" i="8" s="1"/>
  <c r="V352" i="8"/>
  <c r="AH352" i="8" s="1"/>
  <c r="Y352" i="8"/>
  <c r="AL352" i="8" s="1"/>
  <c r="S352" i="8"/>
  <c r="T352" i="8"/>
  <c r="DI350" i="8"/>
  <c r="DL350" i="8" s="1"/>
  <c r="DO350" i="8" s="1"/>
  <c r="DR350" i="8" s="1"/>
  <c r="DU350" i="8" s="1"/>
  <c r="AS351" i="8"/>
  <c r="BU351" i="8"/>
  <c r="AT351" i="8"/>
  <c r="BV351" i="8"/>
  <c r="AX352" i="8" l="1"/>
  <c r="DQ352" i="8"/>
  <c r="AN352" i="8"/>
  <c r="BQ352" i="8" s="1"/>
  <c r="CI352" i="8" s="1"/>
  <c r="AD352" i="8"/>
  <c r="AG352" i="8" s="1"/>
  <c r="AJ352" i="8" s="1"/>
  <c r="AY352" i="8"/>
  <c r="DT352" i="8"/>
  <c r="S353" i="8"/>
  <c r="W353" i="8"/>
  <c r="AI353" i="8" s="1"/>
  <c r="Q354" i="8"/>
  <c r="U353" i="8"/>
  <c r="X353" i="8"/>
  <c r="AK353" i="8" s="1"/>
  <c r="AA353" i="8"/>
  <c r="R353" i="8"/>
  <c r="T353" i="8"/>
  <c r="Z353" i="8"/>
  <c r="AM353" i="8" s="1"/>
  <c r="AU353" i="8" s="1"/>
  <c r="V353" i="8"/>
  <c r="AH353" i="8" s="1"/>
  <c r="Y353" i="8"/>
  <c r="AL353" i="8" s="1"/>
  <c r="DI351" i="8"/>
  <c r="DL351" i="8" s="1"/>
  <c r="DO351" i="8" s="1"/>
  <c r="DR351" i="8" s="1"/>
  <c r="DU351" i="8" s="1"/>
  <c r="BU352" i="8"/>
  <c r="AS352" i="8"/>
  <c r="BV352" i="8"/>
  <c r="AT352" i="8"/>
  <c r="DQ353" i="8" l="1"/>
  <c r="AX353" i="8"/>
  <c r="DI352" i="8"/>
  <c r="DL352" i="8" s="1"/>
  <c r="DO352" i="8" s="1"/>
  <c r="DR352" i="8" s="1"/>
  <c r="DU352" i="8" s="1"/>
  <c r="AN353" i="8"/>
  <c r="BQ353" i="8" s="1"/>
  <c r="CI353" i="8" s="1"/>
  <c r="AD353" i="8"/>
  <c r="AG353" i="8" s="1"/>
  <c r="AJ353" i="8" s="1"/>
  <c r="DT353" i="8"/>
  <c r="AY353" i="8"/>
  <c r="Y354" i="8"/>
  <c r="AL354" i="8" s="1"/>
  <c r="X354" i="8"/>
  <c r="AK354" i="8" s="1"/>
  <c r="U354" i="8"/>
  <c r="V354" i="8"/>
  <c r="AH354" i="8" s="1"/>
  <c r="Q355" i="8"/>
  <c r="AA354" i="8"/>
  <c r="T354" i="8"/>
  <c r="R354" i="8"/>
  <c r="S354" i="8"/>
  <c r="W354" i="8"/>
  <c r="AI354" i="8" s="1"/>
  <c r="Z354" i="8"/>
  <c r="AM354" i="8" s="1"/>
  <c r="AU354" i="8" s="1"/>
  <c r="AT353" i="8"/>
  <c r="BV353" i="8"/>
  <c r="BU353" i="8"/>
  <c r="AS353" i="8"/>
  <c r="AN354" i="8" l="1"/>
  <c r="BQ354" i="8" s="1"/>
  <c r="CI354" i="8" s="1"/>
  <c r="AD354" i="8"/>
  <c r="AG354" i="8" s="1"/>
  <c r="AJ354" i="8" s="1"/>
  <c r="S355" i="8"/>
  <c r="R355" i="8"/>
  <c r="V355" i="8"/>
  <c r="AH355" i="8" s="1"/>
  <c r="W355" i="8"/>
  <c r="AI355" i="8" s="1"/>
  <c r="Q356" i="8"/>
  <c r="X355" i="8"/>
  <c r="AK355" i="8" s="1"/>
  <c r="AA355" i="8"/>
  <c r="T355" i="8"/>
  <c r="Z355" i="8"/>
  <c r="AM355" i="8" s="1"/>
  <c r="AU355" i="8" s="1"/>
  <c r="Y355" i="8"/>
  <c r="AL355" i="8" s="1"/>
  <c r="U355" i="8"/>
  <c r="AX354" i="8"/>
  <c r="DQ354" i="8"/>
  <c r="DI353" i="8"/>
  <c r="DL353" i="8" s="1"/>
  <c r="DO353" i="8" s="1"/>
  <c r="DR353" i="8" s="1"/>
  <c r="DU353" i="8" s="1"/>
  <c r="AY354" i="8"/>
  <c r="DT354" i="8"/>
  <c r="BV354" i="8"/>
  <c r="AT354" i="8"/>
  <c r="BU354" i="8"/>
  <c r="AS354" i="8"/>
  <c r="AX355" i="8" l="1"/>
  <c r="DQ355" i="8"/>
  <c r="AY355" i="8"/>
  <c r="DT355" i="8"/>
  <c r="AD355" i="8"/>
  <c r="AG355" i="8" s="1"/>
  <c r="AJ355" i="8" s="1"/>
  <c r="AN355" i="8"/>
  <c r="BQ355" i="8" s="1"/>
  <c r="CI355" i="8" s="1"/>
  <c r="DI354" i="8"/>
  <c r="DL354" i="8" s="1"/>
  <c r="DO354" i="8" s="1"/>
  <c r="DR354" i="8" s="1"/>
  <c r="DU354" i="8" s="1"/>
  <c r="S356" i="8"/>
  <c r="V356" i="8"/>
  <c r="AH356" i="8" s="1"/>
  <c r="AA356" i="8"/>
  <c r="T356" i="8"/>
  <c r="Q357" i="8"/>
  <c r="Z356" i="8"/>
  <c r="AM356" i="8" s="1"/>
  <c r="AU356" i="8" s="1"/>
  <c r="X356" i="8"/>
  <c r="AK356" i="8" s="1"/>
  <c r="Y356" i="8"/>
  <c r="AL356" i="8" s="1"/>
  <c r="U356" i="8"/>
  <c r="R356" i="8"/>
  <c r="W356" i="8"/>
  <c r="AI356" i="8" s="1"/>
  <c r="BU355" i="8"/>
  <c r="AS355" i="8"/>
  <c r="BV355" i="8"/>
  <c r="AT355" i="8"/>
  <c r="DT356" i="8" l="1"/>
  <c r="AY356" i="8"/>
  <c r="DI355" i="8"/>
  <c r="DL355" i="8" s="1"/>
  <c r="DO355" i="8" s="1"/>
  <c r="DR355" i="8" s="1"/>
  <c r="DU355" i="8" s="1"/>
  <c r="Z357" i="8"/>
  <c r="AM357" i="8" s="1"/>
  <c r="AU357" i="8" s="1"/>
  <c r="V357" i="8"/>
  <c r="AH357" i="8" s="1"/>
  <c r="Y357" i="8"/>
  <c r="AL357" i="8" s="1"/>
  <c r="T357" i="8"/>
  <c r="W357" i="8"/>
  <c r="AI357" i="8" s="1"/>
  <c r="U357" i="8"/>
  <c r="AA357" i="8"/>
  <c r="Q358" i="8"/>
  <c r="S357" i="8"/>
  <c r="X357" i="8"/>
  <c r="AK357" i="8" s="1"/>
  <c r="R357" i="8"/>
  <c r="DQ356" i="8"/>
  <c r="AX356" i="8"/>
  <c r="AN356" i="8"/>
  <c r="BQ356" i="8" s="1"/>
  <c r="CI356" i="8" s="1"/>
  <c r="AD356" i="8"/>
  <c r="AG356" i="8" s="1"/>
  <c r="AJ356" i="8" s="1"/>
  <c r="BV356" i="8"/>
  <c r="AT356" i="8"/>
  <c r="BU356" i="8"/>
  <c r="AS356" i="8"/>
  <c r="DQ357" i="8" l="1"/>
  <c r="AX357" i="8"/>
  <c r="AY357" i="8"/>
  <c r="DT357" i="8"/>
  <c r="U358" i="8"/>
  <c r="S358" i="8"/>
  <c r="T358" i="8"/>
  <c r="Q359" i="8"/>
  <c r="R358" i="8"/>
  <c r="AA358" i="8"/>
  <c r="V358" i="8"/>
  <c r="AH358" i="8" s="1"/>
  <c r="Z358" i="8"/>
  <c r="AM358" i="8" s="1"/>
  <c r="AU358" i="8" s="1"/>
  <c r="X358" i="8"/>
  <c r="AK358" i="8" s="1"/>
  <c r="Y358" i="8"/>
  <c r="AL358" i="8" s="1"/>
  <c r="W358" i="8"/>
  <c r="AI358" i="8" s="1"/>
  <c r="DI356" i="8"/>
  <c r="DL356" i="8" s="1"/>
  <c r="DO356" i="8" s="1"/>
  <c r="DR356" i="8" s="1"/>
  <c r="DU356" i="8" s="1"/>
  <c r="AN357" i="8"/>
  <c r="BQ357" i="8" s="1"/>
  <c r="CI357" i="8" s="1"/>
  <c r="AD357" i="8"/>
  <c r="AG357" i="8" s="1"/>
  <c r="AJ357" i="8" s="1"/>
  <c r="AS357" i="8"/>
  <c r="BU357" i="8"/>
  <c r="AT357" i="8"/>
  <c r="BV357" i="8"/>
  <c r="AD358" i="8" l="1"/>
  <c r="AG358" i="8" s="1"/>
  <c r="AJ358" i="8" s="1"/>
  <c r="AN358" i="8"/>
  <c r="BQ358" i="8" s="1"/>
  <c r="CI358" i="8" s="1"/>
  <c r="DI357" i="8"/>
  <c r="DL357" i="8" s="1"/>
  <c r="DO357" i="8" s="1"/>
  <c r="DR357" i="8" s="1"/>
  <c r="DU357" i="8" s="1"/>
  <c r="S359" i="8"/>
  <c r="Z359" i="8"/>
  <c r="AM359" i="8" s="1"/>
  <c r="AU359" i="8" s="1"/>
  <c r="U359" i="8"/>
  <c r="R359" i="8"/>
  <c r="T359" i="8"/>
  <c r="Q360" i="8"/>
  <c r="X359" i="8"/>
  <c r="AK359" i="8" s="1"/>
  <c r="V359" i="8"/>
  <c r="AH359" i="8" s="1"/>
  <c r="AA359" i="8"/>
  <c r="Y359" i="8"/>
  <c r="AL359" i="8" s="1"/>
  <c r="W359" i="8"/>
  <c r="AI359" i="8" s="1"/>
  <c r="DQ358" i="8"/>
  <c r="AX358" i="8"/>
  <c r="AY358" i="8"/>
  <c r="DT358" i="8"/>
  <c r="AS358" i="8"/>
  <c r="BU358" i="8"/>
  <c r="AT358" i="8"/>
  <c r="BV358" i="8"/>
  <c r="DQ359" i="8" l="1"/>
  <c r="AX359" i="8"/>
  <c r="DI358" i="8"/>
  <c r="DL358" i="8" s="1"/>
  <c r="DO358" i="8" s="1"/>
  <c r="DR358" i="8" s="1"/>
  <c r="DU358" i="8" s="1"/>
  <c r="AY359" i="8"/>
  <c r="DT359" i="8"/>
  <c r="AD359" i="8"/>
  <c r="AG359" i="8" s="1"/>
  <c r="AJ359" i="8" s="1"/>
  <c r="AN359" i="8"/>
  <c r="BQ359" i="8" s="1"/>
  <c r="CI359" i="8" s="1"/>
  <c r="Z360" i="8"/>
  <c r="AM360" i="8" s="1"/>
  <c r="AU360" i="8" s="1"/>
  <c r="T360" i="8"/>
  <c r="Y360" i="8"/>
  <c r="AL360" i="8" s="1"/>
  <c r="W360" i="8"/>
  <c r="AI360" i="8" s="1"/>
  <c r="V360" i="8"/>
  <c r="AH360" i="8" s="1"/>
  <c r="U360" i="8"/>
  <c r="S360" i="8"/>
  <c r="R360" i="8"/>
  <c r="AA360" i="8"/>
  <c r="Q361" i="8"/>
  <c r="X360" i="8"/>
  <c r="AK360" i="8" s="1"/>
  <c r="BU359" i="8"/>
  <c r="AS359" i="8"/>
  <c r="BV359" i="8"/>
  <c r="AT359" i="8"/>
  <c r="DQ360" i="8" l="1"/>
  <c r="AX360" i="8"/>
  <c r="AY360" i="8"/>
  <c r="DT360" i="8"/>
  <c r="AN360" i="8"/>
  <c r="BQ360" i="8" s="1"/>
  <c r="CI360" i="8" s="1"/>
  <c r="AD360" i="8"/>
  <c r="AG360" i="8" s="1"/>
  <c r="AJ360" i="8" s="1"/>
  <c r="Z361" i="8"/>
  <c r="AM361" i="8" s="1"/>
  <c r="AU361" i="8" s="1"/>
  <c r="T361" i="8"/>
  <c r="S361" i="8"/>
  <c r="Y361" i="8"/>
  <c r="AL361" i="8" s="1"/>
  <c r="X361" i="8"/>
  <c r="AK361" i="8" s="1"/>
  <c r="Q362" i="8"/>
  <c r="W361" i="8"/>
  <c r="AI361" i="8" s="1"/>
  <c r="U361" i="8"/>
  <c r="V361" i="8"/>
  <c r="AH361" i="8" s="1"/>
  <c r="R361" i="8"/>
  <c r="AA361" i="8"/>
  <c r="DI359" i="8"/>
  <c r="DL359" i="8" s="1"/>
  <c r="DO359" i="8" s="1"/>
  <c r="DR359" i="8" s="1"/>
  <c r="DU359" i="8" s="1"/>
  <c r="BV360" i="8"/>
  <c r="AT360" i="8"/>
  <c r="BU360" i="8"/>
  <c r="AS360" i="8"/>
  <c r="DQ361" i="8" l="1"/>
  <c r="AX361" i="8"/>
  <c r="DI360" i="8"/>
  <c r="DL360" i="8" s="1"/>
  <c r="DO360" i="8" s="1"/>
  <c r="DR360" i="8" s="1"/>
  <c r="DU360" i="8" s="1"/>
  <c r="X362" i="8"/>
  <c r="AK362" i="8" s="1"/>
  <c r="AA362" i="8"/>
  <c r="V362" i="8"/>
  <c r="AH362" i="8" s="1"/>
  <c r="U362" i="8"/>
  <c r="Z362" i="8"/>
  <c r="AM362" i="8" s="1"/>
  <c r="AU362" i="8" s="1"/>
  <c r="R362" i="8"/>
  <c r="Q363" i="8"/>
  <c r="T362" i="8"/>
  <c r="W362" i="8"/>
  <c r="AI362" i="8" s="1"/>
  <c r="Y362" i="8"/>
  <c r="AL362" i="8" s="1"/>
  <c r="S362" i="8"/>
  <c r="AY361" i="8"/>
  <c r="DT361" i="8"/>
  <c r="AD361" i="8"/>
  <c r="AG361" i="8" s="1"/>
  <c r="AJ361" i="8" s="1"/>
  <c r="AN361" i="8"/>
  <c r="BQ361" i="8" s="1"/>
  <c r="CI361" i="8" s="1"/>
  <c r="BU361" i="8"/>
  <c r="AS361" i="8"/>
  <c r="AT361" i="8"/>
  <c r="BV361" i="8"/>
  <c r="DI361" i="8" l="1"/>
  <c r="DL361" i="8" s="1"/>
  <c r="DO361" i="8" s="1"/>
  <c r="DR361" i="8" s="1"/>
  <c r="DU361" i="8" s="1"/>
  <c r="AY362" i="8"/>
  <c r="DT362" i="8"/>
  <c r="AD362" i="8"/>
  <c r="AG362" i="8" s="1"/>
  <c r="AJ362" i="8" s="1"/>
  <c r="AN362" i="8"/>
  <c r="BQ362" i="8" s="1"/>
  <c r="CI362" i="8" s="1"/>
  <c r="AX362" i="8"/>
  <c r="DQ362" i="8"/>
  <c r="U363" i="8"/>
  <c r="Z363" i="8"/>
  <c r="AM363" i="8" s="1"/>
  <c r="AU363" i="8" s="1"/>
  <c r="S363" i="8"/>
  <c r="AA363" i="8"/>
  <c r="X363" i="8"/>
  <c r="AK363" i="8" s="1"/>
  <c r="V363" i="8"/>
  <c r="AH363" i="8" s="1"/>
  <c r="Q364" i="8"/>
  <c r="T363" i="8"/>
  <c r="Y363" i="8"/>
  <c r="AL363" i="8" s="1"/>
  <c r="R363" i="8"/>
  <c r="W363" i="8"/>
  <c r="AI363" i="8" s="1"/>
  <c r="BV362" i="8"/>
  <c r="AT362" i="8"/>
  <c r="BU362" i="8"/>
  <c r="AS362" i="8"/>
  <c r="AD363" i="8" l="1"/>
  <c r="AG363" i="8" s="1"/>
  <c r="AJ363" i="8" s="1"/>
  <c r="AN363" i="8"/>
  <c r="BQ363" i="8" s="1"/>
  <c r="CI363" i="8" s="1"/>
  <c r="DI362" i="8"/>
  <c r="DL362" i="8" s="1"/>
  <c r="DO362" i="8" s="1"/>
  <c r="DR362" i="8" s="1"/>
  <c r="DU362" i="8" s="1"/>
  <c r="DT363" i="8"/>
  <c r="AY363" i="8"/>
  <c r="AX363" i="8"/>
  <c r="DQ363" i="8"/>
  <c r="V364" i="8"/>
  <c r="AH364" i="8" s="1"/>
  <c r="Q365" i="8"/>
  <c r="X364" i="8"/>
  <c r="AK364" i="8" s="1"/>
  <c r="AA364" i="8"/>
  <c r="T364" i="8"/>
  <c r="Z364" i="8"/>
  <c r="AM364" i="8" s="1"/>
  <c r="AU364" i="8" s="1"/>
  <c r="Y364" i="8"/>
  <c r="AL364" i="8" s="1"/>
  <c r="W364" i="8"/>
  <c r="AI364" i="8" s="1"/>
  <c r="U364" i="8"/>
  <c r="R364" i="8"/>
  <c r="S364" i="8"/>
  <c r="AS363" i="8"/>
  <c r="BU363" i="8"/>
  <c r="BV363" i="8"/>
  <c r="AT363" i="8"/>
  <c r="DT364" i="8" l="1"/>
  <c r="AY364" i="8"/>
  <c r="DQ364" i="8"/>
  <c r="AX364" i="8"/>
  <c r="AN364" i="8"/>
  <c r="BQ364" i="8" s="1"/>
  <c r="CI364" i="8" s="1"/>
  <c r="AD364" i="8"/>
  <c r="AG364" i="8" s="1"/>
  <c r="AJ364" i="8" s="1"/>
  <c r="DI363" i="8"/>
  <c r="DL363" i="8" s="1"/>
  <c r="DO363" i="8" s="1"/>
  <c r="DR363" i="8" s="1"/>
  <c r="DU363" i="8" s="1"/>
  <c r="U365" i="8"/>
  <c r="Q366" i="8"/>
  <c r="Z365" i="8"/>
  <c r="AM365" i="8" s="1"/>
  <c r="AU365" i="8" s="1"/>
  <c r="W365" i="8"/>
  <c r="AI365" i="8" s="1"/>
  <c r="X365" i="8"/>
  <c r="AK365" i="8" s="1"/>
  <c r="V365" i="8"/>
  <c r="AH365" i="8" s="1"/>
  <c r="S365" i="8"/>
  <c r="R365" i="8"/>
  <c r="T365" i="8"/>
  <c r="AA365" i="8"/>
  <c r="Y365" i="8"/>
  <c r="AL365" i="8" s="1"/>
  <c r="BU364" i="8"/>
  <c r="AS364" i="8"/>
  <c r="BV364" i="8"/>
  <c r="AT364" i="8"/>
  <c r="AX365" i="8" l="1"/>
  <c r="DQ365" i="8"/>
  <c r="DT365" i="8"/>
  <c r="AY365" i="8"/>
  <c r="AN365" i="8"/>
  <c r="BQ365" i="8" s="1"/>
  <c r="CI365" i="8" s="1"/>
  <c r="AD365" i="8"/>
  <c r="AG365" i="8" s="1"/>
  <c r="AJ365" i="8" s="1"/>
  <c r="Z366" i="8"/>
  <c r="AM366" i="8" s="1"/>
  <c r="AU366" i="8" s="1"/>
  <c r="W366" i="8"/>
  <c r="AI366" i="8" s="1"/>
  <c r="U366" i="8"/>
  <c r="S366" i="8"/>
  <c r="R366" i="8"/>
  <c r="Y366" i="8"/>
  <c r="AL366" i="8" s="1"/>
  <c r="X366" i="8"/>
  <c r="AK366" i="8" s="1"/>
  <c r="AA366" i="8"/>
  <c r="Q367" i="8"/>
  <c r="T366" i="8"/>
  <c r="V366" i="8"/>
  <c r="AH366" i="8" s="1"/>
  <c r="DI364" i="8"/>
  <c r="DL364" i="8" s="1"/>
  <c r="DO364" i="8" s="1"/>
  <c r="DR364" i="8" s="1"/>
  <c r="DU364" i="8" s="1"/>
  <c r="AS365" i="8"/>
  <c r="BU365" i="8"/>
  <c r="BV365" i="8"/>
  <c r="AT365" i="8"/>
  <c r="AX366" i="8" l="1"/>
  <c r="DQ366" i="8"/>
  <c r="Y367" i="8"/>
  <c r="AL367" i="8" s="1"/>
  <c r="U367" i="8"/>
  <c r="R367" i="8"/>
  <c r="Q368" i="8"/>
  <c r="X367" i="8"/>
  <c r="AK367" i="8" s="1"/>
  <c r="V367" i="8"/>
  <c r="AH367" i="8" s="1"/>
  <c r="W367" i="8"/>
  <c r="AI367" i="8" s="1"/>
  <c r="AA367" i="8"/>
  <c r="T367" i="8"/>
  <c r="Z367" i="8"/>
  <c r="AM367" i="8" s="1"/>
  <c r="AU367" i="8" s="1"/>
  <c r="S367" i="8"/>
  <c r="AN366" i="8"/>
  <c r="BQ366" i="8" s="1"/>
  <c r="CI366" i="8" s="1"/>
  <c r="AD366" i="8"/>
  <c r="AG366" i="8" s="1"/>
  <c r="AJ366" i="8" s="1"/>
  <c r="DI365" i="8"/>
  <c r="DL365" i="8" s="1"/>
  <c r="DO365" i="8" s="1"/>
  <c r="DR365" i="8" s="1"/>
  <c r="DU365" i="8" s="1"/>
  <c r="AY366" i="8"/>
  <c r="DT366" i="8"/>
  <c r="BV366" i="8"/>
  <c r="AT366" i="8"/>
  <c r="BU366" i="8"/>
  <c r="AS366" i="8"/>
  <c r="DQ367" i="8" l="1"/>
  <c r="AX367" i="8"/>
  <c r="DI366" i="8"/>
  <c r="DL366" i="8" s="1"/>
  <c r="DO366" i="8" s="1"/>
  <c r="DR366" i="8" s="1"/>
  <c r="DU366" i="8" s="1"/>
  <c r="AA368" i="8"/>
  <c r="X368" i="8"/>
  <c r="AK368" i="8" s="1"/>
  <c r="Z368" i="8"/>
  <c r="AM368" i="8" s="1"/>
  <c r="V368" i="8"/>
  <c r="AH368" i="8" s="1"/>
  <c r="T368" i="8"/>
  <c r="Q369" i="8"/>
  <c r="R368" i="8"/>
  <c r="Y368" i="8"/>
  <c r="AL368" i="8" s="1"/>
  <c r="W368" i="8"/>
  <c r="AI368" i="8" s="1"/>
  <c r="S368" i="8"/>
  <c r="U368" i="8"/>
  <c r="DT367" i="8"/>
  <c r="AY367" i="8"/>
  <c r="AN367" i="8"/>
  <c r="BQ367" i="8" s="1"/>
  <c r="CI367" i="8" s="1"/>
  <c r="AD367" i="8"/>
  <c r="AG367" i="8" s="1"/>
  <c r="AJ367" i="8" s="1"/>
  <c r="BU367" i="8"/>
  <c r="AS367" i="8"/>
  <c r="BV367" i="8"/>
  <c r="AT367" i="8"/>
  <c r="AU375" i="8" l="1"/>
  <c r="O268" i="9" s="1"/>
  <c r="AT375" i="8"/>
  <c r="N268" i="9" s="1"/>
  <c r="DI367" i="8"/>
  <c r="DL367" i="8" s="1"/>
  <c r="DO367" i="8" s="1"/>
  <c r="DR367" i="8" s="1"/>
  <c r="DU367" i="8" s="1"/>
  <c r="DT368" i="8"/>
  <c r="AY368" i="8"/>
  <c r="Y369" i="8"/>
  <c r="V369" i="8"/>
  <c r="Z369" i="8"/>
  <c r="X369" i="8"/>
  <c r="AA369" i="8"/>
  <c r="U369" i="8"/>
  <c r="W369" i="8"/>
  <c r="S369" i="8"/>
  <c r="T369" i="8"/>
  <c r="R369" i="8"/>
  <c r="AU368" i="8"/>
  <c r="DQ368" i="8"/>
  <c r="AX368" i="8"/>
  <c r="AD368" i="8"/>
  <c r="AG368" i="8" s="1"/>
  <c r="AJ368" i="8" s="1"/>
  <c r="AN368" i="8"/>
  <c r="BQ368" i="8" s="1"/>
  <c r="CI368" i="8" s="1"/>
  <c r="AU374" i="8"/>
  <c r="AT368" i="8"/>
  <c r="BV368" i="8"/>
  <c r="BU368" i="8"/>
  <c r="AS368" i="8"/>
  <c r="AT374" i="8"/>
  <c r="AD369" i="8" l="1"/>
  <c r="AN369" i="8"/>
  <c r="DI368" i="8"/>
  <c r="DL368" i="8" s="1"/>
  <c r="DO368" i="8" s="1"/>
  <c r="DR368" i="8" s="1"/>
  <c r="DU368" i="8" s="1"/>
  <c r="N267" i="9"/>
  <c r="O267" i="9"/>
  <c r="BQ369" i="8" l="1"/>
  <c r="CI369" i="8" s="1"/>
  <c r="AG369" i="8"/>
  <c r="AI369" i="8" l="1"/>
  <c r="AI371" i="8" s="1"/>
  <c r="AH369" i="8"/>
  <c r="DI369" i="8"/>
  <c r="DL369" i="8" s="1"/>
  <c r="DO369" i="8" s="1"/>
  <c r="DR369" i="8" s="1"/>
  <c r="DU369" i="8" s="1"/>
  <c r="AJ369" i="8"/>
  <c r="AK369" i="8" l="1"/>
  <c r="AL369" i="8"/>
  <c r="AL371" i="8" s="1"/>
  <c r="BU369" i="8"/>
  <c r="AS369" i="8"/>
  <c r="AS381" i="8" s="1"/>
  <c r="AS373" i="8" s="1"/>
  <c r="AX369" i="8"/>
  <c r="AX371" i="8" s="1"/>
  <c r="AH371" i="8" s="1"/>
  <c r="AS371" i="8" s="1"/>
  <c r="DQ369" i="8"/>
  <c r="AM369" i="8"/>
  <c r="AM371" i="8" l="1"/>
  <c r="K85" i="8"/>
  <c r="S188" i="8" s="1"/>
  <c r="AC188" i="8" s="1"/>
  <c r="AU369" i="8"/>
  <c r="AU371" i="8" s="1"/>
  <c r="DT369" i="8"/>
  <c r="AY369" i="8"/>
  <c r="AY371" i="8" s="1"/>
  <c r="AK371" i="8" s="1"/>
  <c r="AT371" i="8" s="1"/>
  <c r="AT369" i="8"/>
  <c r="AT381" i="8" s="1"/>
  <c r="AT373" i="8" s="1"/>
  <c r="BV369" i="8"/>
  <c r="AP188" i="8" l="1"/>
  <c r="DK188" i="8"/>
  <c r="AC189" i="8"/>
  <c r="D85" i="8"/>
  <c r="R188" i="8" s="1"/>
  <c r="AB188" i="8" s="1"/>
  <c r="AV188" i="8" s="1"/>
  <c r="I221" i="8"/>
  <c r="K315" i="8"/>
  <c r="I194" i="8"/>
  <c r="I111" i="8" s="1"/>
  <c r="I211" i="8"/>
  <c r="U278" i="8"/>
  <c r="U209" i="8"/>
  <c r="AF209" i="8" s="1"/>
  <c r="J194" i="8"/>
  <c r="J111" i="8" s="1"/>
  <c r="T209" i="8"/>
  <c r="AE209" i="8" s="1"/>
  <c r="J221" i="8"/>
  <c r="J211" i="8"/>
  <c r="L315" i="8"/>
  <c r="K314" i="8" l="1"/>
  <c r="AQ188" i="8"/>
  <c r="BR188" i="8"/>
  <c r="BS188" i="8"/>
  <c r="AB189" i="8"/>
  <c r="AV189" i="8" s="1"/>
  <c r="AP189" i="8"/>
  <c r="DK189" i="8"/>
  <c r="AC190" i="8"/>
  <c r="BI188" i="8"/>
  <c r="AO188" i="8"/>
  <c r="DW188" i="8"/>
  <c r="BJ187" i="8"/>
  <c r="BI189" i="8"/>
  <c r="K255" i="8"/>
  <c r="AC372" i="8"/>
  <c r="K256" i="8"/>
  <c r="C221" i="8"/>
  <c r="C194" i="8"/>
  <c r="C111" i="8" s="1"/>
  <c r="D315" i="8"/>
  <c r="AR209" i="8"/>
  <c r="BT209" i="8"/>
  <c r="AE210" i="8"/>
  <c r="AW209" i="8"/>
  <c r="DN209" i="8"/>
  <c r="AF210" i="8"/>
  <c r="T278" i="8"/>
  <c r="E315" i="8"/>
  <c r="D314" i="8" s="1"/>
  <c r="O107" i="8" s="1"/>
  <c r="O106" i="8" s="1"/>
  <c r="I117" i="9" s="1"/>
  <c r="D221" i="8"/>
  <c r="D211" i="8"/>
  <c r="D194" i="8"/>
  <c r="D111" i="8" s="1"/>
  <c r="AF372" i="8"/>
  <c r="K258" i="8"/>
  <c r="K257" i="8"/>
  <c r="K265" i="8" l="1"/>
  <c r="K264" i="8"/>
  <c r="BH188" i="8"/>
  <c r="BJ188" i="8" s="1"/>
  <c r="DW189" i="8"/>
  <c r="AO189" i="8"/>
  <c r="DK190" i="8"/>
  <c r="AP190" i="8"/>
  <c r="AC191" i="8"/>
  <c r="BS189" i="8"/>
  <c r="AQ189" i="8"/>
  <c r="BR189" i="8"/>
  <c r="AB190" i="8"/>
  <c r="AV190" i="8" s="1"/>
  <c r="J255" i="8"/>
  <c r="L255" i="8" s="1"/>
  <c r="M255" i="8" s="1"/>
  <c r="AB372" i="8"/>
  <c r="J256" i="8"/>
  <c r="L256" i="8" s="1"/>
  <c r="M256" i="8" s="1"/>
  <c r="C109" i="8"/>
  <c r="DN210" i="8"/>
  <c r="AW210" i="8"/>
  <c r="AF211" i="8"/>
  <c r="AR210" i="8"/>
  <c r="BT210" i="8"/>
  <c r="AE211" i="8"/>
  <c r="J258" i="8"/>
  <c r="AE372" i="8"/>
  <c r="J257" i="8"/>
  <c r="D109" i="8"/>
  <c r="BH189" i="8" l="1"/>
  <c r="BJ189" i="8" s="1"/>
  <c r="AQ190" i="8"/>
  <c r="BR190" i="8"/>
  <c r="BS190" i="8"/>
  <c r="AB191" i="8"/>
  <c r="DK191" i="8"/>
  <c r="AV191" i="8"/>
  <c r="AP191" i="8"/>
  <c r="AC192" i="8"/>
  <c r="AO190" i="8"/>
  <c r="DW190" i="8"/>
  <c r="BI191" i="8"/>
  <c r="BI190" i="8"/>
  <c r="AQ372" i="8"/>
  <c r="C108" i="8"/>
  <c r="BT211" i="8"/>
  <c r="AR211" i="8"/>
  <c r="AE212" i="8"/>
  <c r="DN211" i="8"/>
  <c r="AW211" i="8"/>
  <c r="AF212" i="8"/>
  <c r="AR372" i="8"/>
  <c r="D108" i="8"/>
  <c r="J264" i="8"/>
  <c r="L257" i="8"/>
  <c r="J265" i="8"/>
  <c r="L258" i="8"/>
  <c r="BH190" i="8" l="1"/>
  <c r="BJ190" i="8" s="1"/>
  <c r="BH191" i="8" s="1"/>
  <c r="DW191" i="8"/>
  <c r="AO191" i="8"/>
  <c r="AQ191" i="8"/>
  <c r="BR191" i="8"/>
  <c r="BS191" i="8"/>
  <c r="AB192" i="8"/>
  <c r="AV192" i="8" s="1"/>
  <c r="AP192" i="8"/>
  <c r="DK192" i="8"/>
  <c r="AC193" i="8"/>
  <c r="AW212" i="8"/>
  <c r="DN212" i="8"/>
  <c r="AF213" i="8"/>
  <c r="AR212" i="8"/>
  <c r="BT212" i="8"/>
  <c r="AE213" i="8"/>
  <c r="M257" i="8"/>
  <c r="L264" i="8"/>
  <c r="M264" i="8" s="1"/>
  <c r="L265" i="8"/>
  <c r="M265" i="8" s="1"/>
  <c r="M258" i="8"/>
  <c r="BJ191" i="8" l="1"/>
  <c r="DW192" i="8"/>
  <c r="AO192" i="8"/>
  <c r="DK193" i="8"/>
  <c r="AP193" i="8"/>
  <c r="BI193" i="8" s="1"/>
  <c r="AC194" i="8"/>
  <c r="AQ192" i="8"/>
  <c r="BS192" i="8"/>
  <c r="BR192" i="8"/>
  <c r="AB193" i="8"/>
  <c r="AV193" i="8" s="1"/>
  <c r="BI192" i="8"/>
  <c r="AR213" i="8"/>
  <c r="BT213" i="8"/>
  <c r="AE214" i="8"/>
  <c r="DN213" i="8"/>
  <c r="AW213" i="8"/>
  <c r="AF214" i="8"/>
  <c r="BH192" i="8" l="1"/>
  <c r="BJ192" i="8" s="1"/>
  <c r="BH193" i="8" s="1"/>
  <c r="BR193" i="8"/>
  <c r="AQ193" i="8"/>
  <c r="BS193" i="8"/>
  <c r="AB194" i="8"/>
  <c r="AV194" i="8" s="1"/>
  <c r="DK194" i="8"/>
  <c r="AP194" i="8"/>
  <c r="BI194" i="8" s="1"/>
  <c r="AC195" i="8"/>
  <c r="AO193" i="8"/>
  <c r="DW193" i="8"/>
  <c r="DN214" i="8"/>
  <c r="AW214" i="8"/>
  <c r="AF215" i="8"/>
  <c r="BT214" i="8"/>
  <c r="AR214" i="8"/>
  <c r="AE215" i="8"/>
  <c r="DK195" i="8" l="1"/>
  <c r="AP195" i="8"/>
  <c r="AC196" i="8"/>
  <c r="AO194" i="8"/>
  <c r="DW194" i="8"/>
  <c r="BS194" i="8"/>
  <c r="BR194" i="8"/>
  <c r="AQ194" i="8"/>
  <c r="AB195" i="8"/>
  <c r="AV195" i="8" s="1"/>
  <c r="BJ193" i="8"/>
  <c r="BH194" i="8" s="1"/>
  <c r="DN215" i="8"/>
  <c r="AW215" i="8"/>
  <c r="AF216" i="8"/>
  <c r="AR215" i="8"/>
  <c r="BT215" i="8"/>
  <c r="AE216" i="8"/>
  <c r="AP196" i="8" l="1"/>
  <c r="DK196" i="8"/>
  <c r="AC197" i="8"/>
  <c r="BJ194" i="8"/>
  <c r="AQ195" i="8"/>
  <c r="BR195" i="8"/>
  <c r="BS195" i="8"/>
  <c r="AB196" i="8"/>
  <c r="AV196" i="8" s="1"/>
  <c r="BI195" i="8"/>
  <c r="AO195" i="8"/>
  <c r="DW195" i="8"/>
  <c r="BI196" i="8"/>
  <c r="AR216" i="8"/>
  <c r="BT216" i="8"/>
  <c r="AE217" i="8"/>
  <c r="DN216" i="8"/>
  <c r="AW216" i="8"/>
  <c r="AF217" i="8"/>
  <c r="BH195" i="8" l="1"/>
  <c r="BJ195" i="8" s="1"/>
  <c r="BH196" i="8" s="1"/>
  <c r="AO196" i="8"/>
  <c r="DW196" i="8"/>
  <c r="BR196" i="8"/>
  <c r="AQ196" i="8"/>
  <c r="BS196" i="8"/>
  <c r="AB197" i="8"/>
  <c r="AV197" i="8" s="1"/>
  <c r="AP197" i="8"/>
  <c r="DK197" i="8"/>
  <c r="AC198" i="8"/>
  <c r="AW217" i="8"/>
  <c r="DN217" i="8"/>
  <c r="AF218" i="8"/>
  <c r="BT217" i="8"/>
  <c r="AR217" i="8"/>
  <c r="AE218" i="8"/>
  <c r="BJ196" i="8" l="1"/>
  <c r="DK198" i="8"/>
  <c r="AP198" i="8"/>
  <c r="AC199" i="8"/>
  <c r="AO197" i="8"/>
  <c r="DW197" i="8"/>
  <c r="AQ197" i="8"/>
  <c r="BS197" i="8"/>
  <c r="BR197" i="8"/>
  <c r="AB198" i="8"/>
  <c r="AV198" i="8" s="1"/>
  <c r="BI197" i="8"/>
  <c r="AR218" i="8"/>
  <c r="BT218" i="8"/>
  <c r="AE219" i="8"/>
  <c r="AW218" i="8"/>
  <c r="DN218" i="8"/>
  <c r="AF219" i="8"/>
  <c r="BH197" i="8" l="1"/>
  <c r="BJ197" i="8" s="1"/>
  <c r="DW198" i="8"/>
  <c r="AO198" i="8"/>
  <c r="BR198" i="8"/>
  <c r="BS198" i="8"/>
  <c r="AQ198" i="8"/>
  <c r="AB199" i="8"/>
  <c r="BI198" i="8"/>
  <c r="DK199" i="8"/>
  <c r="AP199" i="8"/>
  <c r="AV199" i="8"/>
  <c r="AC200" i="8"/>
  <c r="AW219" i="8"/>
  <c r="DN219" i="8"/>
  <c r="AF220" i="8"/>
  <c r="BT219" i="8"/>
  <c r="AR219" i="8"/>
  <c r="AE220" i="8"/>
  <c r="BH198" i="8" l="1"/>
  <c r="BJ198" i="8" s="1"/>
  <c r="AP200" i="8"/>
  <c r="BI200" i="8" s="1"/>
  <c r="DK200" i="8"/>
  <c r="AC201" i="8"/>
  <c r="AO199" i="8"/>
  <c r="DW199" i="8"/>
  <c r="BS199" i="8"/>
  <c r="BR199" i="8"/>
  <c r="AQ199" i="8"/>
  <c r="AB200" i="8"/>
  <c r="AV200" i="8" s="1"/>
  <c r="BI199" i="8"/>
  <c r="BT220" i="8"/>
  <c r="AR220" i="8"/>
  <c r="AE221" i="8"/>
  <c r="AW220" i="8"/>
  <c r="DN220" i="8"/>
  <c r="AF221" i="8"/>
  <c r="BH199" i="8" l="1"/>
  <c r="BJ199" i="8" s="1"/>
  <c r="AO200" i="8"/>
  <c r="DW200" i="8"/>
  <c r="AQ200" i="8"/>
  <c r="BR200" i="8"/>
  <c r="BS200" i="8"/>
  <c r="AB201" i="8"/>
  <c r="AV201" i="8" s="1"/>
  <c r="DK201" i="8"/>
  <c r="AP201" i="8"/>
  <c r="AC202" i="8"/>
  <c r="DN221" i="8"/>
  <c r="AW221" i="8"/>
  <c r="AF222" i="8"/>
  <c r="BT221" i="8"/>
  <c r="AR221" i="8"/>
  <c r="AE222" i="8"/>
  <c r="BH200" i="8" l="1"/>
  <c r="BJ200" i="8" s="1"/>
  <c r="AP202" i="8"/>
  <c r="BI202" i="8" s="1"/>
  <c r="DK202" i="8"/>
  <c r="AC203" i="8"/>
  <c r="DW201" i="8"/>
  <c r="AO201" i="8"/>
  <c r="BR201" i="8"/>
  <c r="AQ201" i="8"/>
  <c r="BS201" i="8"/>
  <c r="AB202" i="8"/>
  <c r="AV202" i="8" s="1"/>
  <c r="BI201" i="8"/>
  <c r="BT222" i="8"/>
  <c r="AR222" i="8"/>
  <c r="AE223" i="8"/>
  <c r="AW222" i="8"/>
  <c r="DN222" i="8"/>
  <c r="AF223" i="8"/>
  <c r="BH201" i="8" l="1"/>
  <c r="BJ201" i="8" s="1"/>
  <c r="BH202" i="8" s="1"/>
  <c r="AO202" i="8"/>
  <c r="DW202" i="8"/>
  <c r="BS202" i="8"/>
  <c r="BR202" i="8"/>
  <c r="AQ202" i="8"/>
  <c r="AB203" i="8"/>
  <c r="AP203" i="8"/>
  <c r="AV203" i="8"/>
  <c r="DK203" i="8"/>
  <c r="AC204" i="8"/>
  <c r="DN223" i="8"/>
  <c r="AW223" i="8"/>
  <c r="AF224" i="8"/>
  <c r="BT223" i="8"/>
  <c r="AR223" i="8"/>
  <c r="AE224" i="8"/>
  <c r="DW203" i="8" l="1"/>
  <c r="AO203" i="8"/>
  <c r="BI203" i="8"/>
  <c r="BJ202" i="8"/>
  <c r="AP204" i="8"/>
  <c r="DK204" i="8"/>
  <c r="AC205" i="8"/>
  <c r="BR203" i="8"/>
  <c r="AQ203" i="8"/>
  <c r="BS203" i="8"/>
  <c r="AB204" i="8"/>
  <c r="AV204" i="8" s="1"/>
  <c r="AW224" i="8"/>
  <c r="DN224" i="8"/>
  <c r="AF225" i="8"/>
  <c r="BT224" i="8"/>
  <c r="AR224" i="8"/>
  <c r="AE225" i="8"/>
  <c r="BH203" i="8" l="1"/>
  <c r="BJ203" i="8" s="1"/>
  <c r="AQ204" i="8"/>
  <c r="BR204" i="8"/>
  <c r="BS204" i="8"/>
  <c r="AB205" i="8"/>
  <c r="DK205" i="8"/>
  <c r="AV205" i="8"/>
  <c r="AP205" i="8"/>
  <c r="AC206" i="8"/>
  <c r="DW204" i="8"/>
  <c r="AO204" i="8"/>
  <c r="BI205" i="8"/>
  <c r="BI204" i="8"/>
  <c r="BT225" i="8"/>
  <c r="AR225" i="8"/>
  <c r="AE226" i="8"/>
  <c r="DN225" i="8"/>
  <c r="AW225" i="8"/>
  <c r="AF226" i="8"/>
  <c r="BH204" i="8" l="1"/>
  <c r="BJ204" i="8" s="1"/>
  <c r="AO205" i="8"/>
  <c r="DW205" i="8"/>
  <c r="AP206" i="8"/>
  <c r="DK206" i="8"/>
  <c r="AC207" i="8"/>
  <c r="BS205" i="8"/>
  <c r="AQ205" i="8"/>
  <c r="BR205" i="8"/>
  <c r="AB206" i="8"/>
  <c r="AV206" i="8" s="1"/>
  <c r="DN226" i="8"/>
  <c r="AW226" i="8"/>
  <c r="AF227" i="8"/>
  <c r="BT226" i="8"/>
  <c r="AR226" i="8"/>
  <c r="AE227" i="8"/>
  <c r="BH205" i="8" l="1"/>
  <c r="BJ205" i="8" s="1"/>
  <c r="AO206" i="8"/>
  <c r="DW206" i="8"/>
  <c r="BI206" i="8"/>
  <c r="BS206" i="8"/>
  <c r="BR206" i="8"/>
  <c r="AQ206" i="8"/>
  <c r="AB207" i="8"/>
  <c r="DK207" i="8"/>
  <c r="AV207" i="8"/>
  <c r="AP207" i="8"/>
  <c r="BI207" i="8" s="1"/>
  <c r="AC208" i="8"/>
  <c r="AR227" i="8"/>
  <c r="BT227" i="8"/>
  <c r="AE228" i="8"/>
  <c r="DN227" i="8"/>
  <c r="AW227" i="8"/>
  <c r="AF228" i="8"/>
  <c r="BH206" i="8" l="1"/>
  <c r="BJ206" i="8" s="1"/>
  <c r="AP208" i="8"/>
  <c r="BI208" i="8" s="1"/>
  <c r="DK208" i="8"/>
  <c r="AC209" i="8"/>
  <c r="BS207" i="8"/>
  <c r="BR207" i="8"/>
  <c r="AQ207" i="8"/>
  <c r="AB208" i="8"/>
  <c r="AV208" i="8" s="1"/>
  <c r="AO207" i="8"/>
  <c r="DW207" i="8"/>
  <c r="AW228" i="8"/>
  <c r="DN228" i="8"/>
  <c r="AF229" i="8"/>
  <c r="BT228" i="8"/>
  <c r="AR228" i="8"/>
  <c r="AE229" i="8"/>
  <c r="BH207" i="8" l="1"/>
  <c r="BJ207" i="8" s="1"/>
  <c r="AO208" i="8"/>
  <c r="DW208" i="8"/>
  <c r="BS208" i="8"/>
  <c r="AQ208" i="8"/>
  <c r="BR208" i="8"/>
  <c r="AB209" i="8"/>
  <c r="DK209" i="8"/>
  <c r="AV209" i="8"/>
  <c r="AC210" i="8"/>
  <c r="AP209" i="8"/>
  <c r="BT229" i="8"/>
  <c r="AR229" i="8"/>
  <c r="AE230" i="8"/>
  <c r="AW229" i="8"/>
  <c r="DN229" i="8"/>
  <c r="AF230" i="8"/>
  <c r="BH208" i="8" l="1"/>
  <c r="DK210" i="8"/>
  <c r="AC211" i="8"/>
  <c r="AP210" i="8"/>
  <c r="BJ208" i="8"/>
  <c r="AO209" i="8"/>
  <c r="DW209" i="8"/>
  <c r="AQ209" i="8"/>
  <c r="BS209" i="8"/>
  <c r="AB210" i="8"/>
  <c r="AV210" i="8" s="1"/>
  <c r="BR209" i="8"/>
  <c r="BI209" i="8"/>
  <c r="DN230" i="8"/>
  <c r="AW230" i="8"/>
  <c r="AF231" i="8"/>
  <c r="AR230" i="8"/>
  <c r="BT230" i="8"/>
  <c r="AE231" i="8"/>
  <c r="BH209" i="8" l="1"/>
  <c r="BJ209" i="8" s="1"/>
  <c r="DK211" i="8"/>
  <c r="AC212" i="8"/>
  <c r="AP211" i="8"/>
  <c r="AQ210" i="8"/>
  <c r="BS210" i="8"/>
  <c r="AB211" i="8"/>
  <c r="AV211" i="8" s="1"/>
  <c r="BR210" i="8"/>
  <c r="BI210" i="8"/>
  <c r="DW210" i="8"/>
  <c r="AO210" i="8"/>
  <c r="AR231" i="8"/>
  <c r="BT231" i="8"/>
  <c r="AE232" i="8"/>
  <c r="DN231" i="8"/>
  <c r="AW231" i="8"/>
  <c r="AF232" i="8"/>
  <c r="BH210" i="8" l="1"/>
  <c r="BJ210" i="8" s="1"/>
  <c r="AQ211" i="8"/>
  <c r="BS211" i="8"/>
  <c r="AB212" i="8"/>
  <c r="AV212" i="8" s="1"/>
  <c r="BR211" i="8"/>
  <c r="DK212" i="8"/>
  <c r="AC213" i="8"/>
  <c r="AP212" i="8"/>
  <c r="BI211" i="8"/>
  <c r="AO211" i="8"/>
  <c r="DW211" i="8"/>
  <c r="BI212" i="8"/>
  <c r="AW232" i="8"/>
  <c r="DN232" i="8"/>
  <c r="AF233" i="8"/>
  <c r="BT232" i="8"/>
  <c r="AR232" i="8"/>
  <c r="AE233" i="8"/>
  <c r="BH211" i="8" l="1"/>
  <c r="BJ211" i="8" s="1"/>
  <c r="DK213" i="8"/>
  <c r="AC214" i="8"/>
  <c r="AP213" i="8"/>
  <c r="BI213" i="8" s="1"/>
  <c r="BS212" i="8"/>
  <c r="AQ212" i="8"/>
  <c r="AB213" i="8"/>
  <c r="AV213" i="8" s="1"/>
  <c r="BR212" i="8"/>
  <c r="AO212" i="8"/>
  <c r="DW212" i="8"/>
  <c r="BT233" i="8"/>
  <c r="AR233" i="8"/>
  <c r="AE234" i="8"/>
  <c r="AW233" i="8"/>
  <c r="DN233" i="8"/>
  <c r="AF234" i="8"/>
  <c r="BH212" i="8" l="1"/>
  <c r="BJ212" i="8" s="1"/>
  <c r="BH213" i="8" s="1"/>
  <c r="AQ213" i="8"/>
  <c r="BS213" i="8"/>
  <c r="AB214" i="8"/>
  <c r="BR213" i="8"/>
  <c r="AV214" i="8"/>
  <c r="DK214" i="8"/>
  <c r="AC215" i="8"/>
  <c r="AP214" i="8"/>
  <c r="AO213" i="8"/>
  <c r="DW213" i="8"/>
  <c r="DN234" i="8"/>
  <c r="AW234" i="8"/>
  <c r="AF235" i="8"/>
  <c r="BT234" i="8"/>
  <c r="AR234" i="8"/>
  <c r="AE235" i="8"/>
  <c r="BJ213" i="8" l="1"/>
  <c r="DK215" i="8"/>
  <c r="AC216" i="8"/>
  <c r="AP215" i="8"/>
  <c r="AQ214" i="8"/>
  <c r="BS214" i="8"/>
  <c r="AB215" i="8"/>
  <c r="AV215" i="8" s="1"/>
  <c r="BR214" i="8"/>
  <c r="BI214" i="8"/>
  <c r="DW214" i="8"/>
  <c r="AO214" i="8"/>
  <c r="BT235" i="8"/>
  <c r="AR235" i="8"/>
  <c r="AE236" i="8"/>
  <c r="AW235" i="8"/>
  <c r="DN235" i="8"/>
  <c r="AF236" i="8"/>
  <c r="BH214" i="8" l="1"/>
  <c r="BJ214" i="8" s="1"/>
  <c r="AO215" i="8"/>
  <c r="DW215" i="8"/>
  <c r="BI215" i="8"/>
  <c r="BS215" i="8"/>
  <c r="AQ215" i="8"/>
  <c r="AB216" i="8"/>
  <c r="BR215" i="8"/>
  <c r="AV216" i="8"/>
  <c r="DK216" i="8"/>
  <c r="AC217" i="8"/>
  <c r="AP216" i="8"/>
  <c r="AW236" i="8"/>
  <c r="DN236" i="8"/>
  <c r="AF237" i="8"/>
  <c r="AR236" i="8"/>
  <c r="BT236" i="8"/>
  <c r="AE237" i="8"/>
  <c r="BH215" i="8" l="1"/>
  <c r="BJ215" i="8" s="1"/>
  <c r="DK217" i="8"/>
  <c r="AC218" i="8"/>
  <c r="AP217" i="8"/>
  <c r="BI217" i="8" s="1"/>
  <c r="BS216" i="8"/>
  <c r="AQ216" i="8"/>
  <c r="AB217" i="8"/>
  <c r="AV217" i="8" s="1"/>
  <c r="BR216" i="8"/>
  <c r="DW216" i="8"/>
  <c r="AO216" i="8"/>
  <c r="BI216" i="8"/>
  <c r="AR237" i="8"/>
  <c r="BT237" i="8"/>
  <c r="AE238" i="8"/>
  <c r="DN237" i="8"/>
  <c r="AW237" i="8"/>
  <c r="AF238" i="8"/>
  <c r="BH216" i="8" l="1"/>
  <c r="BJ216" i="8" s="1"/>
  <c r="AO217" i="8"/>
  <c r="DW217" i="8"/>
  <c r="AQ217" i="8"/>
  <c r="BS217" i="8"/>
  <c r="AB218" i="8"/>
  <c r="BR217" i="8"/>
  <c r="AV218" i="8"/>
  <c r="DK218" i="8"/>
  <c r="AC219" i="8"/>
  <c r="AP218" i="8"/>
  <c r="DN238" i="8"/>
  <c r="AW238" i="8"/>
  <c r="AF239" i="8"/>
  <c r="AR238" i="8"/>
  <c r="BT238" i="8"/>
  <c r="AE239" i="8"/>
  <c r="BH217" i="8" l="1"/>
  <c r="BJ217" i="8" s="1"/>
  <c r="AQ218" i="8"/>
  <c r="BS218" i="8"/>
  <c r="AB219" i="8"/>
  <c r="BR218" i="8"/>
  <c r="AV219" i="8"/>
  <c r="DK219" i="8"/>
  <c r="AC220" i="8"/>
  <c r="AP219" i="8"/>
  <c r="BI218" i="8"/>
  <c r="DW218" i="8"/>
  <c r="AO218" i="8"/>
  <c r="DN239" i="8"/>
  <c r="AW239" i="8"/>
  <c r="AF240" i="8"/>
  <c r="AR239" i="8"/>
  <c r="BT239" i="8"/>
  <c r="AE240" i="8"/>
  <c r="BH218" i="8" l="1"/>
  <c r="BJ218" i="8" s="1"/>
  <c r="DK220" i="8"/>
  <c r="AC221" i="8"/>
  <c r="AP220" i="8"/>
  <c r="BI219" i="8"/>
  <c r="DW219" i="8"/>
  <c r="AO219" i="8"/>
  <c r="AQ219" i="8"/>
  <c r="BS219" i="8"/>
  <c r="AB220" i="8"/>
  <c r="AV220" i="8" s="1"/>
  <c r="BR219" i="8"/>
  <c r="BT240" i="8"/>
  <c r="AR240" i="8"/>
  <c r="AE241" i="8"/>
  <c r="DN240" i="8"/>
  <c r="AW240" i="8"/>
  <c r="AF241" i="8"/>
  <c r="BH219" i="8" l="1"/>
  <c r="BJ219" i="8" s="1"/>
  <c r="DK221" i="8"/>
  <c r="AC222" i="8"/>
  <c r="AP221" i="8"/>
  <c r="BI221" i="8" s="1"/>
  <c r="BS220" i="8"/>
  <c r="AQ220" i="8"/>
  <c r="AB221" i="8"/>
  <c r="AV221" i="8" s="1"/>
  <c r="BR220" i="8"/>
  <c r="BI220" i="8"/>
  <c r="DW220" i="8"/>
  <c r="AO220" i="8"/>
  <c r="DN241" i="8"/>
  <c r="AW241" i="8"/>
  <c r="AF242" i="8"/>
  <c r="AR241" i="8"/>
  <c r="BT241" i="8"/>
  <c r="AE242" i="8"/>
  <c r="BH220" i="8" l="1"/>
  <c r="BJ220" i="8" s="1"/>
  <c r="BH221" i="8" s="1"/>
  <c r="AQ221" i="8"/>
  <c r="BS221" i="8"/>
  <c r="AB222" i="8"/>
  <c r="BR221" i="8"/>
  <c r="AV222" i="8"/>
  <c r="DK222" i="8"/>
  <c r="AC223" i="8"/>
  <c r="AP222" i="8"/>
  <c r="BI222" i="8" s="1"/>
  <c r="DW221" i="8"/>
  <c r="AO221" i="8"/>
  <c r="AW242" i="8"/>
  <c r="DN242" i="8"/>
  <c r="AF243" i="8"/>
  <c r="BT242" i="8"/>
  <c r="AR242" i="8"/>
  <c r="AE243" i="8"/>
  <c r="AQ222" i="8" l="1"/>
  <c r="BS222" i="8"/>
  <c r="AB223" i="8"/>
  <c r="BR222" i="8"/>
  <c r="AV223" i="8"/>
  <c r="DK223" i="8"/>
  <c r="AC224" i="8"/>
  <c r="AP223" i="8"/>
  <c r="AO222" i="8"/>
  <c r="DW222" i="8"/>
  <c r="BJ221" i="8"/>
  <c r="BH222" i="8" s="1"/>
  <c r="DN243" i="8"/>
  <c r="AW243" i="8"/>
  <c r="AF244" i="8"/>
  <c r="AR243" i="8"/>
  <c r="BT243" i="8"/>
  <c r="AE244" i="8"/>
  <c r="BJ222" i="8" l="1"/>
  <c r="DK224" i="8"/>
  <c r="AC225" i="8"/>
  <c r="AP224" i="8"/>
  <c r="BI224" i="8" s="1"/>
  <c r="BI223" i="8"/>
  <c r="DW223" i="8"/>
  <c r="AO223" i="8"/>
  <c r="AQ223" i="8"/>
  <c r="BS223" i="8"/>
  <c r="AB224" i="8"/>
  <c r="AV224" i="8" s="1"/>
  <c r="BR223" i="8"/>
  <c r="BT244" i="8"/>
  <c r="AR244" i="8"/>
  <c r="AE245" i="8"/>
  <c r="DN244" i="8"/>
  <c r="AW244" i="8"/>
  <c r="AF245" i="8"/>
  <c r="BH223" i="8" l="1"/>
  <c r="BJ223" i="8" s="1"/>
  <c r="DK225" i="8"/>
  <c r="AC226" i="8"/>
  <c r="AP225" i="8"/>
  <c r="BS224" i="8"/>
  <c r="AQ224" i="8"/>
  <c r="AB225" i="8"/>
  <c r="AV225" i="8" s="1"/>
  <c r="BR224" i="8"/>
  <c r="AO224" i="8"/>
  <c r="DW224" i="8"/>
  <c r="DN245" i="8"/>
  <c r="AW245" i="8"/>
  <c r="AF246" i="8"/>
  <c r="BT245" i="8"/>
  <c r="AR245" i="8"/>
  <c r="AE246" i="8"/>
  <c r="BH224" i="8" l="1"/>
  <c r="DK226" i="8"/>
  <c r="AC227" i="8"/>
  <c r="AP226" i="8"/>
  <c r="AQ225" i="8"/>
  <c r="BS225" i="8"/>
  <c r="AB226" i="8"/>
  <c r="AV226" i="8" s="1"/>
  <c r="BR225" i="8"/>
  <c r="BI225" i="8"/>
  <c r="DW225" i="8"/>
  <c r="AO225" i="8"/>
  <c r="BJ224" i="8"/>
  <c r="AR246" i="8"/>
  <c r="BT246" i="8"/>
  <c r="AE247" i="8"/>
  <c r="DN246" i="8"/>
  <c r="AW246" i="8"/>
  <c r="AF247" i="8"/>
  <c r="BH225" i="8" l="1"/>
  <c r="BJ225" i="8" s="1"/>
  <c r="BI226" i="8"/>
  <c r="AO226" i="8"/>
  <c r="DW226" i="8"/>
  <c r="AQ226" i="8"/>
  <c r="BS226" i="8"/>
  <c r="AB227" i="8"/>
  <c r="AV227" i="8" s="1"/>
  <c r="BR226" i="8"/>
  <c r="DK227" i="8"/>
  <c r="AC228" i="8"/>
  <c r="AP227" i="8"/>
  <c r="AW247" i="8"/>
  <c r="DN247" i="8"/>
  <c r="AF248" i="8"/>
  <c r="AR247" i="8"/>
  <c r="BT247" i="8"/>
  <c r="AE248" i="8"/>
  <c r="BH226" i="8" l="1"/>
  <c r="BJ226" i="8" s="1"/>
  <c r="BI227" i="8"/>
  <c r="DW227" i="8"/>
  <c r="AO227" i="8"/>
  <c r="DK228" i="8"/>
  <c r="AC229" i="8"/>
  <c r="AP228" i="8"/>
  <c r="BI228" i="8" s="1"/>
  <c r="AQ227" i="8"/>
  <c r="BS227" i="8"/>
  <c r="AB228" i="8"/>
  <c r="AV228" i="8" s="1"/>
  <c r="BR227" i="8"/>
  <c r="BT248" i="8"/>
  <c r="AR248" i="8"/>
  <c r="AE249" i="8"/>
  <c r="AW248" i="8"/>
  <c r="DN248" i="8"/>
  <c r="AF249" i="8"/>
  <c r="BH227" i="8" l="1"/>
  <c r="BJ227" i="8" s="1"/>
  <c r="DK229" i="8"/>
  <c r="AC230" i="8"/>
  <c r="AP229" i="8"/>
  <c r="BI229" i="8" s="1"/>
  <c r="BS228" i="8"/>
  <c r="AQ228" i="8"/>
  <c r="AB229" i="8"/>
  <c r="AV229" i="8" s="1"/>
  <c r="BR228" i="8"/>
  <c r="AO228" i="8"/>
  <c r="DW228" i="8"/>
  <c r="BT249" i="8"/>
  <c r="AR249" i="8"/>
  <c r="AE250" i="8"/>
  <c r="AW249" i="8"/>
  <c r="DN249" i="8"/>
  <c r="AF250" i="8"/>
  <c r="BH228" i="8" l="1"/>
  <c r="BJ228" i="8" s="1"/>
  <c r="BH229" i="8" s="1"/>
  <c r="DK230" i="8"/>
  <c r="AC231" i="8"/>
  <c r="AP230" i="8"/>
  <c r="BI230" i="8" s="1"/>
  <c r="BS229" i="8"/>
  <c r="AQ229" i="8"/>
  <c r="AB230" i="8"/>
  <c r="AV230" i="8" s="1"/>
  <c r="BR229" i="8"/>
  <c r="DW229" i="8"/>
  <c r="AO229" i="8"/>
  <c r="AW250" i="8"/>
  <c r="DN250" i="8"/>
  <c r="AF251" i="8"/>
  <c r="AR250" i="8"/>
  <c r="BT250" i="8"/>
  <c r="AE251" i="8"/>
  <c r="BJ229" i="8" l="1"/>
  <c r="BH230" i="8" s="1"/>
  <c r="DK231" i="8"/>
  <c r="AC232" i="8"/>
  <c r="AP231" i="8"/>
  <c r="BI231" i="8" s="1"/>
  <c r="BS230" i="8"/>
  <c r="AQ230" i="8"/>
  <c r="AB231" i="8"/>
  <c r="AV231" i="8" s="1"/>
  <c r="BR230" i="8"/>
  <c r="DW230" i="8"/>
  <c r="AO230" i="8"/>
  <c r="BT251" i="8"/>
  <c r="AR251" i="8"/>
  <c r="AE252" i="8"/>
  <c r="AW251" i="8"/>
  <c r="DN251" i="8"/>
  <c r="AF252" i="8"/>
  <c r="AQ231" i="8" l="1"/>
  <c r="BS231" i="8"/>
  <c r="AB232" i="8"/>
  <c r="BR231" i="8"/>
  <c r="AV232" i="8"/>
  <c r="DK232" i="8"/>
  <c r="AC233" i="8"/>
  <c r="AP232" i="8"/>
  <c r="AO231" i="8"/>
  <c r="DW231" i="8"/>
  <c r="BJ230" i="8"/>
  <c r="BH231" i="8" s="1"/>
  <c r="AW252" i="8"/>
  <c r="DN252" i="8"/>
  <c r="AF253" i="8"/>
  <c r="BT252" i="8"/>
  <c r="AR252" i="8"/>
  <c r="AE253" i="8"/>
  <c r="BI232" i="8" l="1"/>
  <c r="DW232" i="8"/>
  <c r="AO232" i="8"/>
  <c r="BJ231" i="8"/>
  <c r="DK233" i="8"/>
  <c r="AC234" i="8"/>
  <c r="AP233" i="8"/>
  <c r="AQ232" i="8"/>
  <c r="BS232" i="8"/>
  <c r="AB233" i="8"/>
  <c r="AV233" i="8" s="1"/>
  <c r="BR232" i="8"/>
  <c r="DN253" i="8"/>
  <c r="AW253" i="8"/>
  <c r="AF254" i="8"/>
  <c r="BT253" i="8"/>
  <c r="AR253" i="8"/>
  <c r="AE254" i="8"/>
  <c r="BS233" i="8" l="1"/>
  <c r="AQ233" i="8"/>
  <c r="AB234" i="8"/>
  <c r="BR233" i="8"/>
  <c r="DK234" i="8"/>
  <c r="AV234" i="8"/>
  <c r="AC235" i="8"/>
  <c r="AP234" i="8"/>
  <c r="BI234" i="8" s="1"/>
  <c r="AO233" i="8"/>
  <c r="DW233" i="8"/>
  <c r="BH232" i="8"/>
  <c r="BJ232" i="8" s="1"/>
  <c r="BI233" i="8"/>
  <c r="AW254" i="8"/>
  <c r="DN254" i="8"/>
  <c r="AF255" i="8"/>
  <c r="BT254" i="8"/>
  <c r="AR254" i="8"/>
  <c r="AE255" i="8"/>
  <c r="BH233" i="8" l="1"/>
  <c r="BJ233" i="8" s="1"/>
  <c r="DK235" i="8"/>
  <c r="AC236" i="8"/>
  <c r="AP235" i="8"/>
  <c r="AQ234" i="8"/>
  <c r="BS234" i="8"/>
  <c r="AB235" i="8"/>
  <c r="AV235" i="8" s="1"/>
  <c r="BR234" i="8"/>
  <c r="AO234" i="8"/>
  <c r="DW234" i="8"/>
  <c r="DN255" i="8"/>
  <c r="AW255" i="8"/>
  <c r="AF256" i="8"/>
  <c r="BT255" i="8"/>
  <c r="AR255" i="8"/>
  <c r="AE256" i="8"/>
  <c r="BH234" i="8" l="1"/>
  <c r="BS235" i="8"/>
  <c r="AQ235" i="8"/>
  <c r="AB236" i="8"/>
  <c r="AV236" i="8" s="1"/>
  <c r="BR235" i="8"/>
  <c r="DK236" i="8"/>
  <c r="AC237" i="8"/>
  <c r="AP236" i="8"/>
  <c r="BI235" i="8"/>
  <c r="DW235" i="8"/>
  <c r="AO235" i="8"/>
  <c r="BJ234" i="8"/>
  <c r="DN256" i="8"/>
  <c r="AW256" i="8"/>
  <c r="AF257" i="8"/>
  <c r="AR256" i="8"/>
  <c r="BT256" i="8"/>
  <c r="AE257" i="8"/>
  <c r="BH235" i="8" l="1"/>
  <c r="BJ235" i="8" s="1"/>
  <c r="BI236" i="8"/>
  <c r="AO236" i="8"/>
  <c r="DW236" i="8"/>
  <c r="DK237" i="8"/>
  <c r="AC238" i="8"/>
  <c r="AP237" i="8"/>
  <c r="AQ236" i="8"/>
  <c r="BS236" i="8"/>
  <c r="AB237" i="8"/>
  <c r="AV237" i="8" s="1"/>
  <c r="BR236" i="8"/>
  <c r="DN257" i="8"/>
  <c r="AW257" i="8"/>
  <c r="AF258" i="8"/>
  <c r="AR257" i="8"/>
  <c r="BT257" i="8"/>
  <c r="AE258" i="8"/>
  <c r="BH236" i="8" l="1"/>
  <c r="BJ236" i="8" s="1"/>
  <c r="BI237" i="8"/>
  <c r="AO237" i="8"/>
  <c r="DW237" i="8"/>
  <c r="AQ237" i="8"/>
  <c r="BS237" i="8"/>
  <c r="AB238" i="8"/>
  <c r="AV238" i="8" s="1"/>
  <c r="BR237" i="8"/>
  <c r="DK238" i="8"/>
  <c r="AC239" i="8"/>
  <c r="AP238" i="8"/>
  <c r="AW258" i="8"/>
  <c r="DN258" i="8"/>
  <c r="AF259" i="8"/>
  <c r="BT258" i="8"/>
  <c r="AR258" i="8"/>
  <c r="AE259" i="8"/>
  <c r="BH237" i="8" l="1"/>
  <c r="DW238" i="8"/>
  <c r="AO238" i="8"/>
  <c r="BI238" i="8"/>
  <c r="BJ237" i="8"/>
  <c r="DK239" i="8"/>
  <c r="AC240" i="8"/>
  <c r="AP239" i="8"/>
  <c r="BI239" i="8" s="1"/>
  <c r="BS238" i="8"/>
  <c r="AQ238" i="8"/>
  <c r="AB239" i="8"/>
  <c r="AV239" i="8" s="1"/>
  <c r="BR238" i="8"/>
  <c r="AR259" i="8"/>
  <c r="BT259" i="8"/>
  <c r="AE260" i="8"/>
  <c r="AW259" i="8"/>
  <c r="DN259" i="8"/>
  <c r="AF260" i="8"/>
  <c r="BH238" i="8" l="1"/>
  <c r="AQ239" i="8"/>
  <c r="BS239" i="8"/>
  <c r="AB240" i="8"/>
  <c r="BR239" i="8"/>
  <c r="AV240" i="8"/>
  <c r="DK240" i="8"/>
  <c r="AC241" i="8"/>
  <c r="AP240" i="8"/>
  <c r="BI240" i="8" s="1"/>
  <c r="DW239" i="8"/>
  <c r="AO239" i="8"/>
  <c r="BJ238" i="8"/>
  <c r="BH239" i="8" s="1"/>
  <c r="DN260" i="8"/>
  <c r="AW260" i="8"/>
  <c r="AF261" i="8"/>
  <c r="BT260" i="8"/>
  <c r="AR260" i="8"/>
  <c r="AE261" i="8"/>
  <c r="BJ239" i="8" l="1"/>
  <c r="BH240" i="8" s="1"/>
  <c r="DK241" i="8"/>
  <c r="AC242" i="8"/>
  <c r="AP241" i="8"/>
  <c r="AQ240" i="8"/>
  <c r="BS240" i="8"/>
  <c r="AB241" i="8"/>
  <c r="AV241" i="8" s="1"/>
  <c r="BR240" i="8"/>
  <c r="AO240" i="8"/>
  <c r="DW240" i="8"/>
  <c r="BT261" i="8"/>
  <c r="AR261" i="8"/>
  <c r="AE262" i="8"/>
  <c r="AW261" i="8"/>
  <c r="DN261" i="8"/>
  <c r="AF262" i="8"/>
  <c r="BJ240" i="8" l="1"/>
  <c r="BS241" i="8"/>
  <c r="AQ241" i="8"/>
  <c r="AB242" i="8"/>
  <c r="AV242" i="8" s="1"/>
  <c r="BR241" i="8"/>
  <c r="DK242" i="8"/>
  <c r="AC243" i="8"/>
  <c r="AP242" i="8"/>
  <c r="BI241" i="8"/>
  <c r="AO241" i="8"/>
  <c r="DW241" i="8"/>
  <c r="AR262" i="8"/>
  <c r="BT262" i="8"/>
  <c r="AE263" i="8"/>
  <c r="AW262" i="8"/>
  <c r="DN262" i="8"/>
  <c r="AF263" i="8"/>
  <c r="BH241" i="8" l="1"/>
  <c r="BJ241" i="8" s="1"/>
  <c r="AO242" i="8"/>
  <c r="DW242" i="8"/>
  <c r="BI242" i="8"/>
  <c r="DK243" i="8"/>
  <c r="AC244" i="8"/>
  <c r="AP243" i="8"/>
  <c r="BI243" i="8" s="1"/>
  <c r="AQ242" i="8"/>
  <c r="BS242" i="8"/>
  <c r="AB243" i="8"/>
  <c r="AV243" i="8" s="1"/>
  <c r="BR242" i="8"/>
  <c r="BT263" i="8"/>
  <c r="AR263" i="8"/>
  <c r="AE264" i="8"/>
  <c r="AW263" i="8"/>
  <c r="DN263" i="8"/>
  <c r="AF264" i="8"/>
  <c r="BH242" i="8" l="1"/>
  <c r="BJ242" i="8" s="1"/>
  <c r="DK244" i="8"/>
  <c r="AC245" i="8"/>
  <c r="AP244" i="8"/>
  <c r="BS243" i="8"/>
  <c r="AQ243" i="8"/>
  <c r="AB244" i="8"/>
  <c r="AV244" i="8" s="1"/>
  <c r="BR243" i="8"/>
  <c r="DW243" i="8"/>
  <c r="AO243" i="8"/>
  <c r="AW264" i="8"/>
  <c r="DN264" i="8"/>
  <c r="AF265" i="8"/>
  <c r="AR264" i="8"/>
  <c r="BT264" i="8"/>
  <c r="AE265" i="8"/>
  <c r="BH243" i="8" l="1"/>
  <c r="AQ244" i="8"/>
  <c r="BS244" i="8"/>
  <c r="AB245" i="8"/>
  <c r="BR244" i="8"/>
  <c r="BI244" i="8"/>
  <c r="DW244" i="8"/>
  <c r="AO244" i="8"/>
  <c r="BJ243" i="8"/>
  <c r="AV245" i="8"/>
  <c r="DK245" i="8"/>
  <c r="AC246" i="8"/>
  <c r="AP245" i="8"/>
  <c r="BT265" i="8"/>
  <c r="AR265" i="8"/>
  <c r="AE266" i="8"/>
  <c r="AW265" i="8"/>
  <c r="DN265" i="8"/>
  <c r="AF266" i="8"/>
  <c r="BH244" i="8" l="1"/>
  <c r="BJ244" i="8" s="1"/>
  <c r="BS245" i="8"/>
  <c r="AQ245" i="8"/>
  <c r="AB246" i="8"/>
  <c r="BR245" i="8"/>
  <c r="AV246" i="8"/>
  <c r="DK246" i="8"/>
  <c r="AC247" i="8"/>
  <c r="AP246" i="8"/>
  <c r="BI245" i="8"/>
  <c r="AO245" i="8"/>
  <c r="DW245" i="8"/>
  <c r="AW266" i="8"/>
  <c r="DN266" i="8"/>
  <c r="AF267" i="8"/>
  <c r="AR266" i="8"/>
  <c r="BT266" i="8"/>
  <c r="AE267" i="8"/>
  <c r="BH245" i="8" l="1"/>
  <c r="BJ245" i="8" s="1"/>
  <c r="DK247" i="8"/>
  <c r="AC248" i="8"/>
  <c r="AP247" i="8"/>
  <c r="BI247" i="8" s="1"/>
  <c r="BI246" i="8"/>
  <c r="AO246" i="8"/>
  <c r="DW246" i="8"/>
  <c r="AQ246" i="8"/>
  <c r="BS246" i="8"/>
  <c r="AB247" i="8"/>
  <c r="AV247" i="8" s="1"/>
  <c r="BR246" i="8"/>
  <c r="AR267" i="8"/>
  <c r="BT267" i="8"/>
  <c r="AE268" i="8"/>
  <c r="DN267" i="8"/>
  <c r="AW267" i="8"/>
  <c r="AF268" i="8"/>
  <c r="BH246" i="8" l="1"/>
  <c r="BJ246" i="8" s="1"/>
  <c r="BH247" i="8" s="1"/>
  <c r="DW247" i="8"/>
  <c r="AO247" i="8"/>
  <c r="AQ247" i="8"/>
  <c r="BS247" i="8"/>
  <c r="AB248" i="8"/>
  <c r="AV248" i="8" s="1"/>
  <c r="BR247" i="8"/>
  <c r="DK248" i="8"/>
  <c r="AC249" i="8"/>
  <c r="AP248" i="8"/>
  <c r="BI248" i="8" s="1"/>
  <c r="AR268" i="8"/>
  <c r="BT268" i="8"/>
  <c r="AE269" i="8"/>
  <c r="DN268" i="8"/>
  <c r="AW268" i="8"/>
  <c r="AF269" i="8"/>
  <c r="BJ247" i="8" l="1"/>
  <c r="BH248" i="8" s="1"/>
  <c r="DK249" i="8"/>
  <c r="AC250" i="8"/>
  <c r="AP249" i="8"/>
  <c r="BS248" i="8"/>
  <c r="AQ248" i="8"/>
  <c r="AB249" i="8"/>
  <c r="AV249" i="8" s="1"/>
  <c r="BR248" i="8"/>
  <c r="DW248" i="8"/>
  <c r="AO248" i="8"/>
  <c r="AW269" i="8"/>
  <c r="DN269" i="8"/>
  <c r="AF270" i="8"/>
  <c r="AR269" i="8"/>
  <c r="BT269" i="8"/>
  <c r="AE270" i="8"/>
  <c r="AQ249" i="8" l="1"/>
  <c r="BS249" i="8"/>
  <c r="AB250" i="8"/>
  <c r="BR249" i="8"/>
  <c r="DK250" i="8"/>
  <c r="AV250" i="8"/>
  <c r="AC251" i="8"/>
  <c r="AP250" i="8"/>
  <c r="BI250" i="8" s="1"/>
  <c r="BJ248" i="8"/>
  <c r="BI249" i="8"/>
  <c r="DW249" i="8"/>
  <c r="AO249" i="8"/>
  <c r="AR270" i="8"/>
  <c r="BT270" i="8"/>
  <c r="AE271" i="8"/>
  <c r="AW270" i="8"/>
  <c r="DN270" i="8"/>
  <c r="AF271" i="8"/>
  <c r="BH249" i="8" l="1"/>
  <c r="BJ249" i="8" s="1"/>
  <c r="BH250" i="8" s="1"/>
  <c r="DW250" i="8"/>
  <c r="AO250" i="8"/>
  <c r="DK251" i="8"/>
  <c r="AC252" i="8"/>
  <c r="AP251" i="8"/>
  <c r="BI251" i="8" s="1"/>
  <c r="BS250" i="8"/>
  <c r="AQ250" i="8"/>
  <c r="AB251" i="8"/>
  <c r="AV251" i="8" s="1"/>
  <c r="BR250" i="8"/>
  <c r="DN271" i="8"/>
  <c r="AW271" i="8"/>
  <c r="AF272" i="8"/>
  <c r="AR271" i="8"/>
  <c r="BT271" i="8"/>
  <c r="AE272" i="8"/>
  <c r="BJ250" i="8" l="1"/>
  <c r="BH251" i="8" s="1"/>
  <c r="DK252" i="8"/>
  <c r="AC253" i="8"/>
  <c r="AP252" i="8"/>
  <c r="BI252" i="8" s="1"/>
  <c r="BS251" i="8"/>
  <c r="AQ251" i="8"/>
  <c r="AB252" i="8"/>
  <c r="AV252" i="8" s="1"/>
  <c r="BR251" i="8"/>
  <c r="AO251" i="8"/>
  <c r="DW251" i="8"/>
  <c r="DN272" i="8"/>
  <c r="AW272" i="8"/>
  <c r="AF273" i="8"/>
  <c r="BT272" i="8"/>
  <c r="AR272" i="8"/>
  <c r="AE273" i="8"/>
  <c r="BS252" i="8" l="1"/>
  <c r="AQ252" i="8"/>
  <c r="AB253" i="8"/>
  <c r="BR252" i="8"/>
  <c r="AO252" i="8"/>
  <c r="DW252" i="8"/>
  <c r="BJ251" i="8"/>
  <c r="BH252" i="8" s="1"/>
  <c r="DK253" i="8"/>
  <c r="AV253" i="8"/>
  <c r="AC254" i="8"/>
  <c r="AP253" i="8"/>
  <c r="BT273" i="8"/>
  <c r="AR273" i="8"/>
  <c r="AE274" i="8"/>
  <c r="AW273" i="8"/>
  <c r="DN273" i="8"/>
  <c r="AF274" i="8"/>
  <c r="BJ252" i="8" l="1"/>
  <c r="BS253" i="8"/>
  <c r="AQ253" i="8"/>
  <c r="AB254" i="8"/>
  <c r="AV254" i="8" s="1"/>
  <c r="BR253" i="8"/>
  <c r="BI253" i="8"/>
  <c r="DW253" i="8"/>
  <c r="AO253" i="8"/>
  <c r="DK254" i="8"/>
  <c r="AC255" i="8"/>
  <c r="AP254" i="8"/>
  <c r="DN274" i="8"/>
  <c r="AW274" i="8"/>
  <c r="AF275" i="8"/>
  <c r="AR274" i="8"/>
  <c r="BT274" i="8"/>
  <c r="AE275" i="8"/>
  <c r="BH253" i="8" l="1"/>
  <c r="BJ253" i="8" s="1"/>
  <c r="DW254" i="8"/>
  <c r="AO254" i="8"/>
  <c r="DK255" i="8"/>
  <c r="AC256" i="8"/>
  <c r="AP255" i="8"/>
  <c r="BI255" i="8" s="1"/>
  <c r="BI254" i="8"/>
  <c r="AQ254" i="8"/>
  <c r="BS254" i="8"/>
  <c r="AB255" i="8"/>
  <c r="AV255" i="8" s="1"/>
  <c r="BR254" i="8"/>
  <c r="AR275" i="8"/>
  <c r="BT275" i="8"/>
  <c r="AE276" i="8"/>
  <c r="AW275" i="8"/>
  <c r="DN275" i="8"/>
  <c r="AF276" i="8"/>
  <c r="BH254" i="8" l="1"/>
  <c r="BJ254" i="8" s="1"/>
  <c r="DK256" i="8"/>
  <c r="AC257" i="8"/>
  <c r="AP256" i="8"/>
  <c r="BS255" i="8"/>
  <c r="AQ255" i="8"/>
  <c r="AB256" i="8"/>
  <c r="AV256" i="8" s="1"/>
  <c r="BR255" i="8"/>
  <c r="AO255" i="8"/>
  <c r="DW255" i="8"/>
  <c r="AW276" i="8"/>
  <c r="DN276" i="8"/>
  <c r="AF277" i="8"/>
  <c r="BT276" i="8"/>
  <c r="AR276" i="8"/>
  <c r="AE277" i="8"/>
  <c r="BH255" i="8" l="1"/>
  <c r="BJ255" i="8" s="1"/>
  <c r="AO256" i="8"/>
  <c r="DW256" i="8"/>
  <c r="BI256" i="8"/>
  <c r="BS256" i="8"/>
  <c r="AQ256" i="8"/>
  <c r="AB257" i="8"/>
  <c r="BR256" i="8"/>
  <c r="AV257" i="8"/>
  <c r="DK257" i="8"/>
  <c r="AC258" i="8"/>
  <c r="AP257" i="8"/>
  <c r="AR277" i="8"/>
  <c r="BT277" i="8"/>
  <c r="AE278" i="8"/>
  <c r="DN277" i="8"/>
  <c r="AW277" i="8"/>
  <c r="AF278" i="8"/>
  <c r="BH256" i="8" l="1"/>
  <c r="BJ256" i="8" s="1"/>
  <c r="AO257" i="8"/>
  <c r="DW257" i="8"/>
  <c r="DK258" i="8"/>
  <c r="AC259" i="8"/>
  <c r="AP258" i="8"/>
  <c r="BI258" i="8" s="1"/>
  <c r="AQ257" i="8"/>
  <c r="BS257" i="8"/>
  <c r="AB258" i="8"/>
  <c r="AV258" i="8" s="1"/>
  <c r="BR257" i="8"/>
  <c r="BI257" i="8"/>
  <c r="AW278" i="8"/>
  <c r="AR278" i="8"/>
  <c r="BT278" i="8"/>
  <c r="AE279" i="8"/>
  <c r="DN278" i="8"/>
  <c r="AF279" i="8"/>
  <c r="BH257" i="8" l="1"/>
  <c r="BJ257" i="8" s="1"/>
  <c r="AQ258" i="8"/>
  <c r="BS258" i="8"/>
  <c r="AB259" i="8"/>
  <c r="BR258" i="8"/>
  <c r="DK259" i="8"/>
  <c r="AV259" i="8"/>
  <c r="AC260" i="8"/>
  <c r="AP259" i="8"/>
  <c r="AO258" i="8"/>
  <c r="DW258" i="8"/>
  <c r="AF280" i="8"/>
  <c r="DN279" i="8"/>
  <c r="AW279" i="8"/>
  <c r="AR279" i="8"/>
  <c r="BT279" i="8"/>
  <c r="AE280" i="8"/>
  <c r="BH258" i="8" l="1"/>
  <c r="BJ258" i="8" s="1"/>
  <c r="DW259" i="8"/>
  <c r="AO259" i="8"/>
  <c r="BI259" i="8"/>
  <c r="DK260" i="8"/>
  <c r="AC261" i="8"/>
  <c r="AP260" i="8"/>
  <c r="AQ259" i="8"/>
  <c r="BS259" i="8"/>
  <c r="AB260" i="8"/>
  <c r="AV260" i="8" s="1"/>
  <c r="BR259" i="8"/>
  <c r="AW280" i="8"/>
  <c r="BT280" i="8"/>
  <c r="AR280" i="8"/>
  <c r="AE281" i="8"/>
  <c r="AF281" i="8"/>
  <c r="DN280" i="8"/>
  <c r="BH259" i="8" l="1"/>
  <c r="DK261" i="8"/>
  <c r="AC262" i="8"/>
  <c r="AP261" i="8"/>
  <c r="BJ259" i="8"/>
  <c r="BS260" i="8"/>
  <c r="AQ260" i="8"/>
  <c r="AB261" i="8"/>
  <c r="BR260" i="8"/>
  <c r="BI260" i="8"/>
  <c r="DW260" i="8"/>
  <c r="AO260" i="8"/>
  <c r="AW281" i="8"/>
  <c r="BT281" i="8"/>
  <c r="AR281" i="8"/>
  <c r="AE282" i="8"/>
  <c r="AF282" i="8"/>
  <c r="DN281" i="8"/>
  <c r="BH260" i="8" l="1"/>
  <c r="BJ260" i="8" s="1"/>
  <c r="BS261" i="8"/>
  <c r="AQ261" i="8"/>
  <c r="AB262" i="8"/>
  <c r="BR261" i="8"/>
  <c r="AV262" i="8"/>
  <c r="DK262" i="8"/>
  <c r="AC263" i="8"/>
  <c r="AP262" i="8"/>
  <c r="BI261" i="8"/>
  <c r="DW261" i="8"/>
  <c r="AO261" i="8"/>
  <c r="BI262" i="8"/>
  <c r="AV261" i="8"/>
  <c r="DN282" i="8"/>
  <c r="AF283" i="8"/>
  <c r="AW282" i="8"/>
  <c r="AR282" i="8"/>
  <c r="AE283" i="8"/>
  <c r="BT282" i="8"/>
  <c r="BH261" i="8" l="1"/>
  <c r="BJ261" i="8" s="1"/>
  <c r="BH262" i="8" s="1"/>
  <c r="AO262" i="8"/>
  <c r="DW262" i="8"/>
  <c r="DK263" i="8"/>
  <c r="AC264" i="8"/>
  <c r="AP263" i="8"/>
  <c r="BI263" i="8" s="1"/>
  <c r="AQ262" i="8"/>
  <c r="BS262" i="8"/>
  <c r="AB263" i="8"/>
  <c r="BR262" i="8"/>
  <c r="AF284" i="8"/>
  <c r="DN283" i="8"/>
  <c r="AW283" i="8"/>
  <c r="AR283" i="8"/>
  <c r="BT283" i="8"/>
  <c r="AE284" i="8"/>
  <c r="BJ262" i="8" l="1"/>
  <c r="BH263" i="8" s="1"/>
  <c r="AQ263" i="8"/>
  <c r="BS263" i="8"/>
  <c r="AB264" i="8"/>
  <c r="BR263" i="8"/>
  <c r="DK264" i="8"/>
  <c r="AC265" i="8"/>
  <c r="AP264" i="8"/>
  <c r="AO263" i="8"/>
  <c r="DW263" i="8"/>
  <c r="AV263" i="8"/>
  <c r="AW284" i="8"/>
  <c r="AR284" i="8"/>
  <c r="BT284" i="8"/>
  <c r="AE285" i="8"/>
  <c r="DN284" i="8"/>
  <c r="AF285" i="8"/>
  <c r="DK265" i="8" l="1"/>
  <c r="AC266" i="8"/>
  <c r="AP265" i="8"/>
  <c r="BI265" i="8" s="1"/>
  <c r="BS264" i="8"/>
  <c r="AQ264" i="8"/>
  <c r="AB265" i="8"/>
  <c r="BR264" i="8"/>
  <c r="BJ263" i="8"/>
  <c r="BI264" i="8"/>
  <c r="DW264" i="8"/>
  <c r="AO264" i="8"/>
  <c r="AV264" i="8"/>
  <c r="DN285" i="8"/>
  <c r="AF286" i="8"/>
  <c r="AW285" i="8"/>
  <c r="AR285" i="8"/>
  <c r="AE286" i="8"/>
  <c r="BT285" i="8"/>
  <c r="BH264" i="8" l="1"/>
  <c r="BJ264" i="8" s="1"/>
  <c r="BH265" i="8" s="1"/>
  <c r="AO265" i="8"/>
  <c r="DW265" i="8"/>
  <c r="BS265" i="8"/>
  <c r="AQ265" i="8"/>
  <c r="AB266" i="8"/>
  <c r="BR265" i="8"/>
  <c r="AV266" i="8"/>
  <c r="DK266" i="8"/>
  <c r="AC267" i="8"/>
  <c r="AP266" i="8"/>
  <c r="AV265" i="8"/>
  <c r="AW286" i="8"/>
  <c r="AR286" i="8"/>
  <c r="AE287" i="8"/>
  <c r="BT286" i="8"/>
  <c r="DN286" i="8"/>
  <c r="AF287" i="8"/>
  <c r="BJ265" i="8" l="1"/>
  <c r="BI266" i="8"/>
  <c r="DW266" i="8"/>
  <c r="AO266" i="8"/>
  <c r="DK267" i="8"/>
  <c r="AC268" i="8"/>
  <c r="AP267" i="8"/>
  <c r="BS266" i="8"/>
  <c r="AQ266" i="8"/>
  <c r="AB267" i="8"/>
  <c r="AV267" i="8" s="1"/>
  <c r="BR266" i="8"/>
  <c r="AF288" i="8"/>
  <c r="DN287" i="8"/>
  <c r="AW287" i="8"/>
  <c r="BT287" i="8"/>
  <c r="AR287" i="8"/>
  <c r="AE288" i="8"/>
  <c r="BH266" i="8" l="1"/>
  <c r="BJ266" i="8" s="1"/>
  <c r="AO267" i="8"/>
  <c r="DW267" i="8"/>
  <c r="AQ267" i="8"/>
  <c r="BS267" i="8"/>
  <c r="AB268" i="8"/>
  <c r="BR267" i="8"/>
  <c r="DK268" i="8"/>
  <c r="AC269" i="8"/>
  <c r="AP268" i="8"/>
  <c r="BI268" i="8" s="1"/>
  <c r="BI267" i="8"/>
  <c r="AW288" i="8"/>
  <c r="AR288" i="8"/>
  <c r="BT288" i="8"/>
  <c r="AE289" i="8"/>
  <c r="DN288" i="8"/>
  <c r="AF289" i="8"/>
  <c r="BH267" i="8" l="1"/>
  <c r="BJ267" i="8" s="1"/>
  <c r="BS268" i="8"/>
  <c r="AQ268" i="8"/>
  <c r="AB269" i="8"/>
  <c r="AV269" i="8" s="1"/>
  <c r="BR268" i="8"/>
  <c r="DK269" i="8"/>
  <c r="AC270" i="8"/>
  <c r="AP269" i="8"/>
  <c r="AO268" i="8"/>
  <c r="DW268" i="8"/>
  <c r="AV268" i="8"/>
  <c r="DN289" i="8"/>
  <c r="AF290" i="8"/>
  <c r="AW289" i="8"/>
  <c r="BT289" i="8"/>
  <c r="AR289" i="8"/>
  <c r="AE290" i="8"/>
  <c r="BH268" i="8" l="1"/>
  <c r="BJ268" i="8" s="1"/>
  <c r="AO269" i="8"/>
  <c r="DW269" i="8"/>
  <c r="BI269" i="8"/>
  <c r="DK270" i="8"/>
  <c r="AC271" i="8"/>
  <c r="AP270" i="8"/>
  <c r="AQ269" i="8"/>
  <c r="BS269" i="8"/>
  <c r="AB270" i="8"/>
  <c r="AV270" i="8" s="1"/>
  <c r="BR269" i="8"/>
  <c r="AW290" i="8"/>
  <c r="BT290" i="8"/>
  <c r="AE291" i="8"/>
  <c r="AR290" i="8"/>
  <c r="DN290" i="8"/>
  <c r="AF291" i="8"/>
  <c r="BH269" i="8" l="1"/>
  <c r="BJ269" i="8" s="1"/>
  <c r="BS270" i="8"/>
  <c r="AQ270" i="8"/>
  <c r="AB271" i="8"/>
  <c r="AV271" i="8" s="1"/>
  <c r="BR270" i="8"/>
  <c r="DK271" i="8"/>
  <c r="AC272" i="8"/>
  <c r="AP271" i="8"/>
  <c r="BI270" i="8"/>
  <c r="DW270" i="8"/>
  <c r="AO270" i="8"/>
  <c r="AW291" i="8"/>
  <c r="BT291" i="8"/>
  <c r="AR291" i="8"/>
  <c r="AE292" i="8"/>
  <c r="DN291" i="8"/>
  <c r="AF292" i="8"/>
  <c r="BH270" i="8" l="1"/>
  <c r="BJ270" i="8" s="1"/>
  <c r="DK272" i="8"/>
  <c r="AC273" i="8"/>
  <c r="AP272" i="8"/>
  <c r="BS271" i="8"/>
  <c r="AQ271" i="8"/>
  <c r="AB272" i="8"/>
  <c r="BR271" i="8"/>
  <c r="BI271" i="8"/>
  <c r="AO271" i="8"/>
  <c r="DW271" i="8"/>
  <c r="BI272" i="8"/>
  <c r="AF293" i="8"/>
  <c r="DN292" i="8"/>
  <c r="AW292" i="8"/>
  <c r="BT292" i="8"/>
  <c r="AR292" i="8"/>
  <c r="AE293" i="8"/>
  <c r="BH271" i="8" l="1"/>
  <c r="BJ271" i="8" s="1"/>
  <c r="BH272" i="8" s="1"/>
  <c r="AQ272" i="8"/>
  <c r="BS272" i="8"/>
  <c r="AB273" i="8"/>
  <c r="BR272" i="8"/>
  <c r="AV273" i="8"/>
  <c r="DK273" i="8"/>
  <c r="AC274" i="8"/>
  <c r="AP273" i="8"/>
  <c r="AV272" i="8"/>
  <c r="AO272" i="8"/>
  <c r="DW272" i="8"/>
  <c r="BI273" i="8"/>
  <c r="AW293" i="8"/>
  <c r="BT293" i="8"/>
  <c r="AR293" i="8"/>
  <c r="AE294" i="8"/>
  <c r="DN293" i="8"/>
  <c r="AF294" i="8"/>
  <c r="BJ272" i="8" l="1"/>
  <c r="BH273" i="8" s="1"/>
  <c r="DK274" i="8"/>
  <c r="AC275" i="8"/>
  <c r="AP274" i="8"/>
  <c r="BS273" i="8"/>
  <c r="AQ273" i="8"/>
  <c r="AB274" i="8"/>
  <c r="AV274" i="8" s="1"/>
  <c r="BR273" i="8"/>
  <c r="AO273" i="8"/>
  <c r="DW273" i="8"/>
  <c r="AW294" i="8"/>
  <c r="BT294" i="8"/>
  <c r="AR294" i="8"/>
  <c r="AE295" i="8"/>
  <c r="DN294" i="8"/>
  <c r="AF295" i="8"/>
  <c r="BJ273" i="8" l="1"/>
  <c r="AQ274" i="8"/>
  <c r="BS274" i="8"/>
  <c r="AB275" i="8"/>
  <c r="BR274" i="8"/>
  <c r="DK275" i="8"/>
  <c r="AC276" i="8"/>
  <c r="AP275" i="8"/>
  <c r="BI275" i="8" s="1"/>
  <c r="BI274" i="8"/>
  <c r="DW274" i="8"/>
  <c r="AO274" i="8"/>
  <c r="DN295" i="8"/>
  <c r="AF296" i="8"/>
  <c r="AW295" i="8"/>
  <c r="BT295" i="8"/>
  <c r="AR295" i="8"/>
  <c r="AE296" i="8"/>
  <c r="BH274" i="8" l="1"/>
  <c r="BJ274" i="8" s="1"/>
  <c r="BH275" i="8" s="1"/>
  <c r="DK276" i="8"/>
  <c r="AC277" i="8"/>
  <c r="AP276" i="8"/>
  <c r="AQ275" i="8"/>
  <c r="BS275" i="8"/>
  <c r="AB276" i="8"/>
  <c r="AV276" i="8" s="1"/>
  <c r="BR275" i="8"/>
  <c r="AO275" i="8"/>
  <c r="DW275" i="8"/>
  <c r="AV275" i="8"/>
  <c r="AW296" i="8"/>
  <c r="BT296" i="8"/>
  <c r="AR296" i="8"/>
  <c r="AE297" i="8"/>
  <c r="DN296" i="8"/>
  <c r="AF297" i="8"/>
  <c r="BJ275" i="8" l="1"/>
  <c r="DW276" i="8"/>
  <c r="AO276" i="8"/>
  <c r="BI276" i="8"/>
  <c r="BS276" i="8"/>
  <c r="AQ276" i="8"/>
  <c r="AB277" i="8"/>
  <c r="AV277" i="8" s="1"/>
  <c r="BR276" i="8"/>
  <c r="DK277" i="8"/>
  <c r="AC278" i="8"/>
  <c r="AP277" i="8"/>
  <c r="AW297" i="8"/>
  <c r="AR297" i="8"/>
  <c r="BT297" i="8"/>
  <c r="AE298" i="8"/>
  <c r="DN297" i="8"/>
  <c r="AF298" i="8"/>
  <c r="BH276" i="8" l="1"/>
  <c r="BJ276" i="8" s="1"/>
  <c r="AO277" i="8"/>
  <c r="DW277" i="8"/>
  <c r="DK278" i="8"/>
  <c r="AC279" i="8"/>
  <c r="AP278" i="8"/>
  <c r="AQ277" i="8"/>
  <c r="BS277" i="8"/>
  <c r="AB278" i="8"/>
  <c r="BR277" i="8"/>
  <c r="BI277" i="8"/>
  <c r="AF299" i="8"/>
  <c r="DN298" i="8"/>
  <c r="AW298" i="8"/>
  <c r="AR298" i="8"/>
  <c r="BT298" i="8"/>
  <c r="AE299" i="8"/>
  <c r="BH277" i="8" l="1"/>
  <c r="BJ277" i="8" s="1"/>
  <c r="BI278" i="8"/>
  <c r="AO278" i="8"/>
  <c r="DW278" i="8"/>
  <c r="BS278" i="8"/>
  <c r="AQ278" i="8"/>
  <c r="AB279" i="8"/>
  <c r="BR278" i="8"/>
  <c r="AV279" i="8"/>
  <c r="DK279" i="8"/>
  <c r="AC280" i="8"/>
  <c r="AP279" i="8"/>
  <c r="AV278" i="8"/>
  <c r="AW299" i="8"/>
  <c r="BT299" i="8"/>
  <c r="AR299" i="8"/>
  <c r="AE300" i="8"/>
  <c r="DN299" i="8"/>
  <c r="AF300" i="8"/>
  <c r="BH278" i="8" l="1"/>
  <c r="BJ278" i="8" s="1"/>
  <c r="AO279" i="8"/>
  <c r="DW279" i="8"/>
  <c r="DK280" i="8"/>
  <c r="AC281" i="8"/>
  <c r="AP280" i="8"/>
  <c r="AQ279" i="8"/>
  <c r="BS279" i="8"/>
  <c r="AB280" i="8"/>
  <c r="BR279" i="8"/>
  <c r="BI279" i="8"/>
  <c r="AF301" i="8"/>
  <c r="DN300" i="8"/>
  <c r="AW300" i="8"/>
  <c r="AR300" i="8"/>
  <c r="BT300" i="8"/>
  <c r="AE301" i="8"/>
  <c r="BH279" i="8" l="1"/>
  <c r="BJ279" i="8" s="1"/>
  <c r="BS280" i="8"/>
  <c r="AQ280" i="8"/>
  <c r="AB281" i="8"/>
  <c r="BR280" i="8"/>
  <c r="AV281" i="8"/>
  <c r="DK281" i="8"/>
  <c r="AC282" i="8"/>
  <c r="AP281" i="8"/>
  <c r="BI281" i="8" s="1"/>
  <c r="AO280" i="8"/>
  <c r="DW280" i="8"/>
  <c r="AV280" i="8"/>
  <c r="BI280" i="8"/>
  <c r="AW301" i="8"/>
  <c r="BT301" i="8"/>
  <c r="AR301" i="8"/>
  <c r="AE302" i="8"/>
  <c r="DN301" i="8"/>
  <c r="AF302" i="8"/>
  <c r="BH280" i="8" l="1"/>
  <c r="BJ280" i="8" s="1"/>
  <c r="BH281" i="8" s="1"/>
  <c r="DK282" i="8"/>
  <c r="AC283" i="8"/>
  <c r="AP282" i="8"/>
  <c r="BS281" i="8"/>
  <c r="AQ281" i="8"/>
  <c r="AB282" i="8"/>
  <c r="BR281" i="8"/>
  <c r="AO281" i="8"/>
  <c r="DW281" i="8"/>
  <c r="DN302" i="8"/>
  <c r="AF303" i="8"/>
  <c r="AW302" i="8"/>
  <c r="BT302" i="8"/>
  <c r="AE303" i="8"/>
  <c r="AR302" i="8"/>
  <c r="BS282" i="8" l="1"/>
  <c r="AQ282" i="8"/>
  <c r="AB283" i="8"/>
  <c r="BR282" i="8"/>
  <c r="DK283" i="8"/>
  <c r="AV283" i="8"/>
  <c r="AC284" i="8"/>
  <c r="AP283" i="8"/>
  <c r="AV282" i="8"/>
  <c r="BJ281" i="8"/>
  <c r="BI282" i="8"/>
  <c r="DW282" i="8"/>
  <c r="AO282" i="8"/>
  <c r="AW303" i="8"/>
  <c r="BT303" i="8"/>
  <c r="AR303" i="8"/>
  <c r="AE304" i="8"/>
  <c r="DN303" i="8"/>
  <c r="AF304" i="8"/>
  <c r="BH282" i="8" l="1"/>
  <c r="BJ282" i="8" s="1"/>
  <c r="AO283" i="8"/>
  <c r="DW283" i="8"/>
  <c r="BI283" i="8"/>
  <c r="DK284" i="8"/>
  <c r="AC285" i="8"/>
  <c r="AP284" i="8"/>
  <c r="AQ283" i="8"/>
  <c r="BS283" i="8"/>
  <c r="AB284" i="8"/>
  <c r="BR283" i="8"/>
  <c r="DN304" i="8"/>
  <c r="AF305" i="8"/>
  <c r="AW304" i="8"/>
  <c r="AR304" i="8"/>
  <c r="AE305" i="8"/>
  <c r="BT304" i="8"/>
  <c r="BH283" i="8" l="1"/>
  <c r="BJ283" i="8" s="1"/>
  <c r="AO284" i="8"/>
  <c r="DW284" i="8"/>
  <c r="AQ284" i="8"/>
  <c r="BS284" i="8"/>
  <c r="AB285" i="8"/>
  <c r="BR284" i="8"/>
  <c r="AV285" i="8"/>
  <c r="DK285" i="8"/>
  <c r="AC286" i="8"/>
  <c r="AP285" i="8"/>
  <c r="AV284" i="8"/>
  <c r="BI284" i="8"/>
  <c r="AW305" i="8"/>
  <c r="BT305" i="8"/>
  <c r="AR305" i="8"/>
  <c r="AE306" i="8"/>
  <c r="AF306" i="8"/>
  <c r="DN305" i="8"/>
  <c r="BH284" i="8" l="1"/>
  <c r="BJ284" i="8" s="1"/>
  <c r="BI285" i="8"/>
  <c r="DW285" i="8"/>
  <c r="AO285" i="8"/>
  <c r="DK286" i="8"/>
  <c r="AC287" i="8"/>
  <c r="AP286" i="8"/>
  <c r="BS285" i="8"/>
  <c r="AQ285" i="8"/>
  <c r="AB286" i="8"/>
  <c r="BR285" i="8"/>
  <c r="AW306" i="8"/>
  <c r="BT306" i="8"/>
  <c r="AR306" i="8"/>
  <c r="AE307" i="8"/>
  <c r="DN306" i="8"/>
  <c r="AF307" i="8"/>
  <c r="BH285" i="8" l="1"/>
  <c r="BJ285" i="8" s="1"/>
  <c r="BS286" i="8"/>
  <c r="AQ286" i="8"/>
  <c r="AB287" i="8"/>
  <c r="BR286" i="8"/>
  <c r="AV287" i="8"/>
  <c r="DK287" i="8"/>
  <c r="AC288" i="8"/>
  <c r="AP287" i="8"/>
  <c r="BI287" i="8" s="1"/>
  <c r="BI286" i="8"/>
  <c r="DW286" i="8"/>
  <c r="AO286" i="8"/>
  <c r="AV286" i="8"/>
  <c r="AW307" i="8"/>
  <c r="AR307" i="8"/>
  <c r="BT307" i="8"/>
  <c r="AE308" i="8"/>
  <c r="AF308" i="8"/>
  <c r="DN307" i="8"/>
  <c r="BH286" i="8" l="1"/>
  <c r="BJ286" i="8" s="1"/>
  <c r="DW287" i="8"/>
  <c r="AO287" i="8"/>
  <c r="DK288" i="8"/>
  <c r="AC289" i="8"/>
  <c r="AP288" i="8"/>
  <c r="BS287" i="8"/>
  <c r="AQ287" i="8"/>
  <c r="AB288" i="8"/>
  <c r="BR287" i="8"/>
  <c r="DN308" i="8"/>
  <c r="AF309" i="8"/>
  <c r="AW308" i="8"/>
  <c r="AR308" i="8"/>
  <c r="AE309" i="8"/>
  <c r="BT308" i="8"/>
  <c r="BH287" i="8" l="1"/>
  <c r="DK289" i="8"/>
  <c r="AC290" i="8"/>
  <c r="AP289" i="8"/>
  <c r="BI289" i="8" s="1"/>
  <c r="BJ287" i="8"/>
  <c r="AQ288" i="8"/>
  <c r="BS288" i="8"/>
  <c r="AB289" i="8"/>
  <c r="BR288" i="8"/>
  <c r="AV288" i="8"/>
  <c r="DW288" i="8"/>
  <c r="AO288" i="8"/>
  <c r="BI288" i="8"/>
  <c r="AW309" i="8"/>
  <c r="AR309" i="8"/>
  <c r="BT309" i="8"/>
  <c r="AE310" i="8"/>
  <c r="AF310" i="8"/>
  <c r="DN309" i="8"/>
  <c r="BH288" i="8" l="1"/>
  <c r="BJ288" i="8" s="1"/>
  <c r="BH289" i="8" s="1"/>
  <c r="BS289" i="8"/>
  <c r="AQ289" i="8"/>
  <c r="AB290" i="8"/>
  <c r="AV290" i="8" s="1"/>
  <c r="BR289" i="8"/>
  <c r="DW289" i="8"/>
  <c r="AO289" i="8"/>
  <c r="AV289" i="8"/>
  <c r="DK290" i="8"/>
  <c r="AC291" i="8"/>
  <c r="AP290" i="8"/>
  <c r="AW310" i="8"/>
  <c r="BT310" i="8"/>
  <c r="AE311" i="8"/>
  <c r="AR310" i="8"/>
  <c r="AF311" i="8"/>
  <c r="DN310" i="8"/>
  <c r="BJ289" i="8" l="1"/>
  <c r="DK291" i="8"/>
  <c r="AC292" i="8"/>
  <c r="AP291" i="8"/>
  <c r="BI290" i="8"/>
  <c r="DW290" i="8"/>
  <c r="AO290" i="8"/>
  <c r="AQ290" i="8"/>
  <c r="BS290" i="8"/>
  <c r="AB291" i="8"/>
  <c r="BR290" i="8"/>
  <c r="AW311" i="8"/>
  <c r="BT311" i="8"/>
  <c r="AE312" i="8"/>
  <c r="AR311" i="8"/>
  <c r="DN311" i="8"/>
  <c r="AF312" i="8"/>
  <c r="BH290" i="8" l="1"/>
  <c r="BJ290" i="8" s="1"/>
  <c r="DK292" i="8"/>
  <c r="AC293" i="8"/>
  <c r="AP292" i="8"/>
  <c r="AQ291" i="8"/>
  <c r="BS291" i="8"/>
  <c r="AB292" i="8"/>
  <c r="BR291" i="8"/>
  <c r="BI291" i="8"/>
  <c r="DW291" i="8"/>
  <c r="AO291" i="8"/>
  <c r="AV291" i="8"/>
  <c r="DN312" i="8"/>
  <c r="AF313" i="8"/>
  <c r="AW312" i="8"/>
  <c r="BT312" i="8"/>
  <c r="AR312" i="8"/>
  <c r="AE313" i="8"/>
  <c r="AQ292" i="8" l="1"/>
  <c r="BS292" i="8"/>
  <c r="AB293" i="8"/>
  <c r="BR292" i="8"/>
  <c r="BI292" i="8"/>
  <c r="AO292" i="8"/>
  <c r="DW292" i="8"/>
  <c r="AV293" i="8"/>
  <c r="DK293" i="8"/>
  <c r="AC294" i="8"/>
  <c r="AP293" i="8"/>
  <c r="AV292" i="8"/>
  <c r="BH291" i="8"/>
  <c r="BJ291" i="8" s="1"/>
  <c r="BH292" i="8" s="1"/>
  <c r="BJ292" i="8" s="1"/>
  <c r="AW313" i="8"/>
  <c r="BT313" i="8"/>
  <c r="AR313" i="8"/>
  <c r="AE314" i="8"/>
  <c r="AF314" i="8"/>
  <c r="DN313" i="8"/>
  <c r="DK294" i="8" l="1"/>
  <c r="AC295" i="8"/>
  <c r="AP294" i="8"/>
  <c r="BI293" i="8"/>
  <c r="BH293" i="8" s="1"/>
  <c r="BJ293" i="8" s="1"/>
  <c r="DW293" i="8"/>
  <c r="AO293" i="8"/>
  <c r="BS293" i="8"/>
  <c r="AQ293" i="8"/>
  <c r="AB294" i="8"/>
  <c r="AV294" i="8" s="1"/>
  <c r="BR293" i="8"/>
  <c r="AF315" i="8"/>
  <c r="DN314" i="8"/>
  <c r="AW314" i="8"/>
  <c r="AE315" i="8"/>
  <c r="AR314" i="8"/>
  <c r="BT314" i="8"/>
  <c r="DK295" i="8" l="1"/>
  <c r="AC296" i="8"/>
  <c r="AP295" i="8"/>
  <c r="AQ294" i="8"/>
  <c r="BS294" i="8"/>
  <c r="AB295" i="8"/>
  <c r="AV295" i="8" s="1"/>
  <c r="BR294" i="8"/>
  <c r="BI294" i="8"/>
  <c r="BH294" i="8" s="1"/>
  <c r="DW294" i="8"/>
  <c r="AO294" i="8"/>
  <c r="AW315" i="8"/>
  <c r="BT315" i="8"/>
  <c r="AR315" i="8"/>
  <c r="AE316" i="8"/>
  <c r="DN315" i="8"/>
  <c r="AF316" i="8"/>
  <c r="BJ294" i="8" l="1"/>
  <c r="BS295" i="8"/>
  <c r="AQ295" i="8"/>
  <c r="AB296" i="8"/>
  <c r="AV296" i="8" s="1"/>
  <c r="BR295" i="8"/>
  <c r="DW295" i="8"/>
  <c r="AO295" i="8"/>
  <c r="BI295" i="8"/>
  <c r="DK296" i="8"/>
  <c r="AC297" i="8"/>
  <c r="AP296" i="8"/>
  <c r="AW316" i="8"/>
  <c r="BT316" i="8"/>
  <c r="AR316" i="8"/>
  <c r="AE317" i="8"/>
  <c r="AF317" i="8"/>
  <c r="DN316" i="8"/>
  <c r="BH295" i="8" l="1"/>
  <c r="BJ295" i="8" s="1"/>
  <c r="DW296" i="8"/>
  <c r="AO296" i="8"/>
  <c r="DK297" i="8"/>
  <c r="AC298" i="8"/>
  <c r="AP297" i="8"/>
  <c r="BI297" i="8" s="1"/>
  <c r="BI296" i="8"/>
  <c r="AQ296" i="8"/>
  <c r="BS296" i="8"/>
  <c r="AB297" i="8"/>
  <c r="AV297" i="8" s="1"/>
  <c r="BR296" i="8"/>
  <c r="DN317" i="8"/>
  <c r="AF318" i="8"/>
  <c r="AW317" i="8"/>
  <c r="AR317" i="8"/>
  <c r="BT317" i="8"/>
  <c r="AE318" i="8"/>
  <c r="BH296" i="8" l="1"/>
  <c r="BJ296" i="8" s="1"/>
  <c r="DK298" i="8"/>
  <c r="AC299" i="8"/>
  <c r="AP298" i="8"/>
  <c r="BS297" i="8"/>
  <c r="AQ297" i="8"/>
  <c r="AB298" i="8"/>
  <c r="AV298" i="8" s="1"/>
  <c r="BR297" i="8"/>
  <c r="DW297" i="8"/>
  <c r="AO297" i="8"/>
  <c r="AW318" i="8"/>
  <c r="AR318" i="8"/>
  <c r="BT318" i="8"/>
  <c r="AE319" i="8"/>
  <c r="DN318" i="8"/>
  <c r="AF319" i="8"/>
  <c r="BH297" i="8" l="1"/>
  <c r="BJ297" i="8" s="1"/>
  <c r="DW298" i="8"/>
  <c r="AO298" i="8"/>
  <c r="BI298" i="8"/>
  <c r="AQ298" i="8"/>
  <c r="BS298" i="8"/>
  <c r="AB299" i="8"/>
  <c r="BR298" i="8"/>
  <c r="AV299" i="8"/>
  <c r="DK299" i="8"/>
  <c r="AC300" i="8"/>
  <c r="AP299" i="8"/>
  <c r="BI299" i="8" s="1"/>
  <c r="AF320" i="8"/>
  <c r="DN319" i="8"/>
  <c r="AW319" i="8"/>
  <c r="AR319" i="8"/>
  <c r="BT319" i="8"/>
  <c r="AE320" i="8"/>
  <c r="BH298" i="8" l="1"/>
  <c r="BJ298" i="8" s="1"/>
  <c r="BH299" i="8" s="1"/>
  <c r="AO299" i="8"/>
  <c r="DW299" i="8"/>
  <c r="DK300" i="8"/>
  <c r="AC301" i="8"/>
  <c r="AP300" i="8"/>
  <c r="BI300" i="8" s="1"/>
  <c r="AQ299" i="8"/>
  <c r="BS299" i="8"/>
  <c r="AB300" i="8"/>
  <c r="BR299" i="8"/>
  <c r="AW320" i="8"/>
  <c r="BT320" i="8"/>
  <c r="AE321" i="8"/>
  <c r="AR320" i="8"/>
  <c r="DN320" i="8"/>
  <c r="AF321" i="8"/>
  <c r="BJ299" i="8" l="1"/>
  <c r="BH300" i="8" s="1"/>
  <c r="AQ300" i="8"/>
  <c r="BS300" i="8"/>
  <c r="AB301" i="8"/>
  <c r="BR300" i="8"/>
  <c r="AV301" i="8"/>
  <c r="DK301" i="8"/>
  <c r="AC302" i="8"/>
  <c r="AP301" i="8"/>
  <c r="BI301" i="8" s="1"/>
  <c r="DW300" i="8"/>
  <c r="AO300" i="8"/>
  <c r="AV300" i="8"/>
  <c r="DN321" i="8"/>
  <c r="AF322" i="8"/>
  <c r="AW321" i="8"/>
  <c r="BT321" i="8"/>
  <c r="AR321" i="8"/>
  <c r="AE322" i="8"/>
  <c r="BJ300" i="8" l="1"/>
  <c r="BH301" i="8" s="1"/>
  <c r="DK302" i="8"/>
  <c r="AC303" i="8"/>
  <c r="AP302" i="8"/>
  <c r="AQ301" i="8"/>
  <c r="BS301" i="8"/>
  <c r="AB302" i="8"/>
  <c r="AV302" i="8" s="1"/>
  <c r="BR301" i="8"/>
  <c r="AO301" i="8"/>
  <c r="DW301" i="8"/>
  <c r="AW322" i="8"/>
  <c r="AE323" i="8"/>
  <c r="AR322" i="8"/>
  <c r="BT322" i="8"/>
  <c r="AF323" i="8"/>
  <c r="DN322" i="8"/>
  <c r="BJ301" i="8" l="1"/>
  <c r="DW302" i="8"/>
  <c r="AO302" i="8"/>
  <c r="BI302" i="8"/>
  <c r="BS302" i="8"/>
  <c r="AQ302" i="8"/>
  <c r="AB303" i="8"/>
  <c r="AV303" i="8" s="1"/>
  <c r="BR302" i="8"/>
  <c r="DK303" i="8"/>
  <c r="AC304" i="8"/>
  <c r="AP303" i="8"/>
  <c r="DN323" i="8"/>
  <c r="AF324" i="8"/>
  <c r="AW323" i="8"/>
  <c r="BT323" i="8"/>
  <c r="AR323" i="8"/>
  <c r="AE324" i="8"/>
  <c r="BH302" i="8" l="1"/>
  <c r="BJ302" i="8" s="1"/>
  <c r="BI303" i="8"/>
  <c r="DW303" i="8"/>
  <c r="AO303" i="8"/>
  <c r="DK304" i="8"/>
  <c r="AC305" i="8"/>
  <c r="AP304" i="8"/>
  <c r="BS303" i="8"/>
  <c r="AQ303" i="8"/>
  <c r="AB304" i="8"/>
  <c r="BR303" i="8"/>
  <c r="DN324" i="8"/>
  <c r="AF325" i="8"/>
  <c r="AW324" i="8"/>
  <c r="AR324" i="8"/>
  <c r="BT324" i="8"/>
  <c r="AE325" i="8"/>
  <c r="BH303" i="8" l="1"/>
  <c r="BJ303" i="8" s="1"/>
  <c r="AQ304" i="8"/>
  <c r="BS304" i="8"/>
  <c r="AB305" i="8"/>
  <c r="BR304" i="8"/>
  <c r="AV305" i="8"/>
  <c r="DK305" i="8"/>
  <c r="AC306" i="8"/>
  <c r="AP305" i="8"/>
  <c r="AV304" i="8"/>
  <c r="DW304" i="8"/>
  <c r="AO304" i="8"/>
  <c r="BI304" i="8"/>
  <c r="DN325" i="8"/>
  <c r="AF326" i="8"/>
  <c r="AW325" i="8"/>
  <c r="BT325" i="8"/>
  <c r="AE326" i="8"/>
  <c r="AR325" i="8"/>
  <c r="BH304" i="8" l="1"/>
  <c r="BJ304" i="8" s="1"/>
  <c r="DK306" i="8"/>
  <c r="AC307" i="8"/>
  <c r="AP306" i="8"/>
  <c r="AQ305" i="8"/>
  <c r="BS305" i="8"/>
  <c r="AB306" i="8"/>
  <c r="AV306" i="8" s="1"/>
  <c r="BR305" i="8"/>
  <c r="BI305" i="8"/>
  <c r="AO305" i="8"/>
  <c r="DW305" i="8"/>
  <c r="AW326" i="8"/>
  <c r="AR326" i="8"/>
  <c r="AE327" i="8"/>
  <c r="BT326" i="8"/>
  <c r="DN326" i="8"/>
  <c r="AF327" i="8"/>
  <c r="BH305" i="8" l="1"/>
  <c r="BJ305" i="8" s="1"/>
  <c r="AO306" i="8"/>
  <c r="DW306" i="8"/>
  <c r="BI306" i="8"/>
  <c r="BS306" i="8"/>
  <c r="AQ306" i="8"/>
  <c r="AB307" i="8"/>
  <c r="AV307" i="8" s="1"/>
  <c r="BR306" i="8"/>
  <c r="DK307" i="8"/>
  <c r="AC308" i="8"/>
  <c r="AP307" i="8"/>
  <c r="DN327" i="8"/>
  <c r="AF328" i="8"/>
  <c r="AW327" i="8"/>
  <c r="AR327" i="8"/>
  <c r="BT327" i="8"/>
  <c r="AE328" i="8"/>
  <c r="BH306" i="8" l="1"/>
  <c r="BJ306" i="8" s="1"/>
  <c r="BI307" i="8"/>
  <c r="DW307" i="8"/>
  <c r="AO307" i="8"/>
  <c r="DK308" i="8"/>
  <c r="AC309" i="8"/>
  <c r="AP308" i="8"/>
  <c r="BI308" i="8" s="1"/>
  <c r="BS307" i="8"/>
  <c r="AQ307" i="8"/>
  <c r="AB308" i="8"/>
  <c r="BR307" i="8"/>
  <c r="AW328" i="8"/>
  <c r="BT328" i="8"/>
  <c r="AR328" i="8"/>
  <c r="AE329" i="8"/>
  <c r="DN328" i="8"/>
  <c r="AF329" i="8"/>
  <c r="BH307" i="8" l="1"/>
  <c r="BJ307" i="8" s="1"/>
  <c r="BH308" i="8" s="1"/>
  <c r="AQ308" i="8"/>
  <c r="BS308" i="8"/>
  <c r="AB309" i="8"/>
  <c r="BR308" i="8"/>
  <c r="AV309" i="8"/>
  <c r="DK309" i="8"/>
  <c r="AC310" i="8"/>
  <c r="AP309" i="8"/>
  <c r="AV308" i="8"/>
  <c r="AO308" i="8"/>
  <c r="DW308" i="8"/>
  <c r="BI309" i="8"/>
  <c r="DN329" i="8"/>
  <c r="AF330" i="8"/>
  <c r="AW329" i="8"/>
  <c r="BT329" i="8"/>
  <c r="AR329" i="8"/>
  <c r="AE330" i="8"/>
  <c r="DK310" i="8" l="1"/>
  <c r="AC311" i="8"/>
  <c r="AP310" i="8"/>
  <c r="BI310" i="8" s="1"/>
  <c r="AQ309" i="8"/>
  <c r="BS309" i="8"/>
  <c r="AB310" i="8"/>
  <c r="BR309" i="8"/>
  <c r="AO309" i="8"/>
  <c r="DW309" i="8"/>
  <c r="BJ308" i="8"/>
  <c r="BH309" i="8" s="1"/>
  <c r="BJ309" i="8" s="1"/>
  <c r="AW330" i="8"/>
  <c r="BT330" i="8"/>
  <c r="AR330" i="8"/>
  <c r="AE331" i="8"/>
  <c r="AF331" i="8"/>
  <c r="DN330" i="8"/>
  <c r="BH310" i="8" l="1"/>
  <c r="AQ310" i="8"/>
  <c r="BS310" i="8"/>
  <c r="AB311" i="8"/>
  <c r="AV311" i="8" s="1"/>
  <c r="BR310" i="8"/>
  <c r="DK311" i="8"/>
  <c r="AC312" i="8"/>
  <c r="AP311" i="8"/>
  <c r="BI311" i="8" s="1"/>
  <c r="AO310" i="8"/>
  <c r="DW310" i="8"/>
  <c r="AV310" i="8"/>
  <c r="AF332" i="8"/>
  <c r="DN331" i="8"/>
  <c r="AW331" i="8"/>
  <c r="BT331" i="8"/>
  <c r="AE332" i="8"/>
  <c r="AR331" i="8"/>
  <c r="BJ310" i="8" l="1"/>
  <c r="BH311" i="8" s="1"/>
  <c r="DW311" i="8"/>
  <c r="AO311" i="8"/>
  <c r="DK312" i="8"/>
  <c r="AC313" i="8"/>
  <c r="AP312" i="8"/>
  <c r="BI312" i="8" s="1"/>
  <c r="AQ311" i="8"/>
  <c r="BS311" i="8"/>
  <c r="AB312" i="8"/>
  <c r="AV312" i="8" s="1"/>
  <c r="BR311" i="8"/>
  <c r="AW332" i="8"/>
  <c r="AR332" i="8"/>
  <c r="BT332" i="8"/>
  <c r="AE333" i="8"/>
  <c r="DN332" i="8"/>
  <c r="AF333" i="8"/>
  <c r="AO312" i="8" l="1"/>
  <c r="DW312" i="8"/>
  <c r="AQ312" i="8"/>
  <c r="BS312" i="8"/>
  <c r="AB313" i="8"/>
  <c r="AV313" i="8" s="1"/>
  <c r="BR312" i="8"/>
  <c r="DK313" i="8"/>
  <c r="AC314" i="8"/>
  <c r="AP313" i="8"/>
  <c r="BJ311" i="8"/>
  <c r="BH312" i="8" s="1"/>
  <c r="DN333" i="8"/>
  <c r="AF334" i="8"/>
  <c r="AW333" i="8"/>
  <c r="BT333" i="8"/>
  <c r="AR333" i="8"/>
  <c r="AE334" i="8"/>
  <c r="BI313" i="8" l="1"/>
  <c r="DW313" i="8"/>
  <c r="AO313" i="8"/>
  <c r="BJ312" i="8"/>
  <c r="DK314" i="8"/>
  <c r="AC315" i="8"/>
  <c r="AP314" i="8"/>
  <c r="BS313" i="8"/>
  <c r="AQ313" i="8"/>
  <c r="AB314" i="8"/>
  <c r="AV314" i="8" s="1"/>
  <c r="BR313" i="8"/>
  <c r="AW334" i="8"/>
  <c r="AR334" i="8"/>
  <c r="BT334" i="8"/>
  <c r="AE335" i="8"/>
  <c r="AF335" i="8"/>
  <c r="DN334" i="8"/>
  <c r="BH313" i="8" l="1"/>
  <c r="BJ313" i="8" s="1"/>
  <c r="BI314" i="8"/>
  <c r="AO314" i="8"/>
  <c r="DW314" i="8"/>
  <c r="AQ314" i="8"/>
  <c r="BS314" i="8"/>
  <c r="AB315" i="8"/>
  <c r="BR314" i="8"/>
  <c r="AV315" i="8"/>
  <c r="DK315" i="8"/>
  <c r="AC316" i="8"/>
  <c r="AP315" i="8"/>
  <c r="BI315" i="8" s="1"/>
  <c r="DN335" i="8"/>
  <c r="AF336" i="8"/>
  <c r="AW335" i="8"/>
  <c r="BT335" i="8"/>
  <c r="AR335" i="8"/>
  <c r="AE336" i="8"/>
  <c r="BH314" i="8" l="1"/>
  <c r="BJ314" i="8" s="1"/>
  <c r="BH315" i="8" s="1"/>
  <c r="DK316" i="8"/>
  <c r="AC317" i="8"/>
  <c r="AP316" i="8"/>
  <c r="BS315" i="8"/>
  <c r="AQ315" i="8"/>
  <c r="AB316" i="8"/>
  <c r="BR315" i="8"/>
  <c r="AO315" i="8"/>
  <c r="DW315" i="8"/>
  <c r="AW336" i="8"/>
  <c r="AR336" i="8"/>
  <c r="BT336" i="8"/>
  <c r="AE337" i="8"/>
  <c r="AF337" i="8"/>
  <c r="DN336" i="8"/>
  <c r="AQ316" i="8" l="1"/>
  <c r="BS316" i="8"/>
  <c r="AB317" i="8"/>
  <c r="BR316" i="8"/>
  <c r="AV317" i="8"/>
  <c r="DK317" i="8"/>
  <c r="AC318" i="8"/>
  <c r="AP317" i="8"/>
  <c r="BI316" i="8"/>
  <c r="AO316" i="8"/>
  <c r="DW316" i="8"/>
  <c r="AV316" i="8"/>
  <c r="BJ315" i="8"/>
  <c r="DN337" i="8"/>
  <c r="AF338" i="8"/>
  <c r="AW337" i="8"/>
  <c r="AR337" i="8"/>
  <c r="AE338" i="8"/>
  <c r="BT337" i="8"/>
  <c r="BH316" i="8" l="1"/>
  <c r="BJ316" i="8" s="1"/>
  <c r="BI317" i="8"/>
  <c r="AO317" i="8"/>
  <c r="DW317" i="8"/>
  <c r="DK318" i="8"/>
  <c r="AC319" i="8"/>
  <c r="AP318" i="8"/>
  <c r="BS317" i="8"/>
  <c r="AQ317" i="8"/>
  <c r="AB318" i="8"/>
  <c r="BR317" i="8"/>
  <c r="AW338" i="8"/>
  <c r="BT338" i="8"/>
  <c r="AE339" i="8"/>
  <c r="AR338" i="8"/>
  <c r="DN338" i="8"/>
  <c r="AF339" i="8"/>
  <c r="BH317" i="8" l="1"/>
  <c r="BJ317" i="8" s="1"/>
  <c r="BI318" i="8"/>
  <c r="DW318" i="8"/>
  <c r="AO318" i="8"/>
  <c r="AQ318" i="8"/>
  <c r="BS318" i="8"/>
  <c r="AB319" i="8"/>
  <c r="AV319" i="8" s="1"/>
  <c r="BR318" i="8"/>
  <c r="DK319" i="8"/>
  <c r="AC320" i="8"/>
  <c r="AP319" i="8"/>
  <c r="AV318" i="8"/>
  <c r="DN339" i="8"/>
  <c r="AF340" i="8"/>
  <c r="AW339" i="8"/>
  <c r="AR339" i="8"/>
  <c r="BT339" i="8"/>
  <c r="AE340" i="8"/>
  <c r="BH318" i="8" l="1"/>
  <c r="BJ318" i="8" s="1"/>
  <c r="DK320" i="8"/>
  <c r="AC321" i="8"/>
  <c r="AP320" i="8"/>
  <c r="BI320" i="8" s="1"/>
  <c r="AQ319" i="8"/>
  <c r="BS319" i="8"/>
  <c r="AB320" i="8"/>
  <c r="BR319" i="8"/>
  <c r="DW319" i="8"/>
  <c r="AO319" i="8"/>
  <c r="BI319" i="8"/>
  <c r="AW340" i="8"/>
  <c r="BT340" i="8"/>
  <c r="AR340" i="8"/>
  <c r="AE341" i="8"/>
  <c r="DN340" i="8"/>
  <c r="AF341" i="8"/>
  <c r="BH319" i="8" l="1"/>
  <c r="BJ319" i="8" s="1"/>
  <c r="BH320" i="8" s="1"/>
  <c r="AO320" i="8"/>
  <c r="DW320" i="8"/>
  <c r="AQ320" i="8"/>
  <c r="BS320" i="8"/>
  <c r="AB321" i="8"/>
  <c r="BR320" i="8"/>
  <c r="DK321" i="8"/>
  <c r="AC322" i="8"/>
  <c r="AP321" i="8"/>
  <c r="BI321" i="8" s="1"/>
  <c r="AV320" i="8"/>
  <c r="DN341" i="8"/>
  <c r="AF342" i="8"/>
  <c r="AW341" i="8"/>
  <c r="BT341" i="8"/>
  <c r="AR341" i="8"/>
  <c r="AE342" i="8"/>
  <c r="BJ320" i="8" l="1"/>
  <c r="BH321" i="8" s="1"/>
  <c r="DK322" i="8"/>
  <c r="AC323" i="8"/>
  <c r="AP322" i="8"/>
  <c r="BS321" i="8"/>
  <c r="AQ321" i="8"/>
  <c r="AB322" i="8"/>
  <c r="AV322" i="8" s="1"/>
  <c r="BR321" i="8"/>
  <c r="DW321" i="8"/>
  <c r="AO321" i="8"/>
  <c r="AV321" i="8"/>
  <c r="AW342" i="8"/>
  <c r="BT342" i="8"/>
  <c r="AR342" i="8"/>
  <c r="AE343" i="8"/>
  <c r="DN342" i="8"/>
  <c r="AF343" i="8"/>
  <c r="BI322" i="8" l="1"/>
  <c r="DW322" i="8"/>
  <c r="AO322" i="8"/>
  <c r="BJ321" i="8"/>
  <c r="AQ322" i="8"/>
  <c r="BS322" i="8"/>
  <c r="AB323" i="8"/>
  <c r="AV323" i="8" s="1"/>
  <c r="BR322" i="8"/>
  <c r="DK323" i="8"/>
  <c r="AC324" i="8"/>
  <c r="AP323" i="8"/>
  <c r="BI323" i="8" s="1"/>
  <c r="DN343" i="8"/>
  <c r="AF344" i="8"/>
  <c r="AW343" i="8"/>
  <c r="AE344" i="8"/>
  <c r="BT343" i="8"/>
  <c r="AR343" i="8"/>
  <c r="BH322" i="8" l="1"/>
  <c r="BJ322" i="8"/>
  <c r="BH323" i="8" s="1"/>
  <c r="DW323" i="8"/>
  <c r="AO323" i="8"/>
  <c r="DK324" i="8"/>
  <c r="AC325" i="8"/>
  <c r="AP324" i="8"/>
  <c r="BS323" i="8"/>
  <c r="AQ323" i="8"/>
  <c r="AB324" i="8"/>
  <c r="BR323" i="8"/>
  <c r="AW344" i="8"/>
  <c r="BT344" i="8"/>
  <c r="AR344" i="8"/>
  <c r="AE345" i="8"/>
  <c r="AF345" i="8"/>
  <c r="DN344" i="8"/>
  <c r="BJ323" i="8" l="1"/>
  <c r="AQ324" i="8"/>
  <c r="BS324" i="8"/>
  <c r="AB325" i="8"/>
  <c r="AV325" i="8" s="1"/>
  <c r="BR324" i="8"/>
  <c r="DK325" i="8"/>
  <c r="AC326" i="8"/>
  <c r="AP325" i="8"/>
  <c r="AV324" i="8"/>
  <c r="AO324" i="8"/>
  <c r="DW324" i="8"/>
  <c r="BI324" i="8"/>
  <c r="AF346" i="8"/>
  <c r="DN345" i="8"/>
  <c r="AW345" i="8"/>
  <c r="AR345" i="8"/>
  <c r="BT345" i="8"/>
  <c r="AE346" i="8"/>
  <c r="BH324" i="8" l="1"/>
  <c r="BJ324" i="8"/>
  <c r="DK326" i="8"/>
  <c r="AC327" i="8"/>
  <c r="AP326" i="8"/>
  <c r="BS325" i="8"/>
  <c r="AQ325" i="8"/>
  <c r="AB326" i="8"/>
  <c r="AV326" i="8" s="1"/>
  <c r="BR325" i="8"/>
  <c r="BI325" i="8"/>
  <c r="DW325" i="8"/>
  <c r="AO325" i="8"/>
  <c r="BI326" i="8"/>
  <c r="AW346" i="8"/>
  <c r="BT346" i="8"/>
  <c r="AR346" i="8"/>
  <c r="AE347" i="8"/>
  <c r="DN346" i="8"/>
  <c r="AF347" i="8"/>
  <c r="BH325" i="8" l="1"/>
  <c r="BJ325" i="8" s="1"/>
  <c r="BH326" i="8" s="1"/>
  <c r="AO326" i="8"/>
  <c r="DW326" i="8"/>
  <c r="BS326" i="8"/>
  <c r="AQ326" i="8"/>
  <c r="AB327" i="8"/>
  <c r="BR326" i="8"/>
  <c r="DK327" i="8"/>
  <c r="AC328" i="8"/>
  <c r="AP327" i="8"/>
  <c r="AF348" i="8"/>
  <c r="DN347" i="8"/>
  <c r="AW347" i="8"/>
  <c r="BT347" i="8"/>
  <c r="AE348" i="8"/>
  <c r="AR347" i="8"/>
  <c r="DK328" i="8" l="1"/>
  <c r="AC329" i="8"/>
  <c r="AP328" i="8"/>
  <c r="AQ327" i="8"/>
  <c r="BS327" i="8"/>
  <c r="AB328" i="8"/>
  <c r="AV328" i="8" s="1"/>
  <c r="BR327" i="8"/>
  <c r="BJ326" i="8"/>
  <c r="DW327" i="8"/>
  <c r="AO327" i="8"/>
  <c r="BI328" i="8"/>
  <c r="AV327" i="8"/>
  <c r="BI327" i="8"/>
  <c r="AW348" i="8"/>
  <c r="AR348" i="8"/>
  <c r="BT348" i="8"/>
  <c r="AE349" i="8"/>
  <c r="AF349" i="8"/>
  <c r="DN348" i="8"/>
  <c r="BH327" i="8" l="1"/>
  <c r="BJ327" i="8" s="1"/>
  <c r="AO328" i="8"/>
  <c r="DW328" i="8"/>
  <c r="AQ328" i="8"/>
  <c r="BS328" i="8"/>
  <c r="AB329" i="8"/>
  <c r="BR328" i="8"/>
  <c r="DK329" i="8"/>
  <c r="AC330" i="8"/>
  <c r="AP329" i="8"/>
  <c r="BI329" i="8" s="1"/>
  <c r="DN349" i="8"/>
  <c r="AF350" i="8"/>
  <c r="AW349" i="8"/>
  <c r="BT349" i="8"/>
  <c r="AR349" i="8"/>
  <c r="AE350" i="8"/>
  <c r="BH328" i="8" l="1"/>
  <c r="BJ328" i="8" s="1"/>
  <c r="BH329" i="8" s="1"/>
  <c r="DK330" i="8"/>
  <c r="AC331" i="8"/>
  <c r="AP330" i="8"/>
  <c r="AQ329" i="8"/>
  <c r="BS329" i="8"/>
  <c r="AB330" i="8"/>
  <c r="BR329" i="8"/>
  <c r="AO329" i="8"/>
  <c r="DW329" i="8"/>
  <c r="AV329" i="8"/>
  <c r="AW350" i="8"/>
  <c r="AE351" i="8"/>
  <c r="AR350" i="8"/>
  <c r="BT350" i="8"/>
  <c r="DN350" i="8"/>
  <c r="AF351" i="8"/>
  <c r="DW330" i="8" l="1"/>
  <c r="AO330" i="8"/>
  <c r="BJ329" i="8"/>
  <c r="BI330" i="8"/>
  <c r="AQ330" i="8"/>
  <c r="BS330" i="8"/>
  <c r="AB331" i="8"/>
  <c r="BR330" i="8"/>
  <c r="AV331" i="8"/>
  <c r="DK331" i="8"/>
  <c r="AC332" i="8"/>
  <c r="AP331" i="8"/>
  <c r="AV330" i="8"/>
  <c r="AW351" i="8"/>
  <c r="AR351" i="8"/>
  <c r="AE352" i="8"/>
  <c r="BT351" i="8"/>
  <c r="DN351" i="8"/>
  <c r="AF352" i="8"/>
  <c r="BH330" i="8" l="1"/>
  <c r="BJ330" i="8"/>
  <c r="AO331" i="8"/>
  <c r="DW331" i="8"/>
  <c r="DK332" i="8"/>
  <c r="AC333" i="8"/>
  <c r="AP332" i="8"/>
  <c r="BS331" i="8"/>
  <c r="AQ331" i="8"/>
  <c r="AB332" i="8"/>
  <c r="AV332" i="8" s="1"/>
  <c r="BR331" i="8"/>
  <c r="BI331" i="8"/>
  <c r="DN352" i="8"/>
  <c r="AF353" i="8"/>
  <c r="AW352" i="8"/>
  <c r="BT352" i="8"/>
  <c r="AR352" i="8"/>
  <c r="AE353" i="8"/>
  <c r="BH331" i="8" l="1"/>
  <c r="BJ331" i="8" s="1"/>
  <c r="BI332" i="8"/>
  <c r="AO332" i="8"/>
  <c r="DW332" i="8"/>
  <c r="AQ332" i="8"/>
  <c r="BS332" i="8"/>
  <c r="AB333" i="8"/>
  <c r="AV333" i="8" s="1"/>
  <c r="BR332" i="8"/>
  <c r="DK333" i="8"/>
  <c r="AC334" i="8"/>
  <c r="AP333" i="8"/>
  <c r="AW353" i="8"/>
  <c r="AE354" i="8"/>
  <c r="AR353" i="8"/>
  <c r="BT353" i="8"/>
  <c r="DN353" i="8"/>
  <c r="AF354" i="8"/>
  <c r="BH332" i="8" l="1"/>
  <c r="BJ332" i="8" s="1"/>
  <c r="AO333" i="8"/>
  <c r="DW333" i="8"/>
  <c r="DK334" i="8"/>
  <c r="AC335" i="8"/>
  <c r="AP334" i="8"/>
  <c r="BS333" i="8"/>
  <c r="AQ333" i="8"/>
  <c r="AB334" i="8"/>
  <c r="BR333" i="8"/>
  <c r="BI333" i="8"/>
  <c r="AW354" i="8"/>
  <c r="BT354" i="8"/>
  <c r="AR354" i="8"/>
  <c r="AE355" i="8"/>
  <c r="DN354" i="8"/>
  <c r="AF355" i="8"/>
  <c r="BH333" i="8" l="1"/>
  <c r="BJ333" i="8" s="1"/>
  <c r="AQ334" i="8"/>
  <c r="BS334" i="8"/>
  <c r="AB335" i="8"/>
  <c r="AV335" i="8" s="1"/>
  <c r="BR334" i="8"/>
  <c r="DK335" i="8"/>
  <c r="AC336" i="8"/>
  <c r="AP335" i="8"/>
  <c r="DW334" i="8"/>
  <c r="AO334" i="8"/>
  <c r="AV334" i="8"/>
  <c r="BI334" i="8"/>
  <c r="DN355" i="8"/>
  <c r="AF356" i="8"/>
  <c r="AW355" i="8"/>
  <c r="AE356" i="8"/>
  <c r="BT355" i="8"/>
  <c r="AR355" i="8"/>
  <c r="BH334" i="8" l="1"/>
  <c r="BJ334" i="8" s="1"/>
  <c r="AO335" i="8"/>
  <c r="DW335" i="8"/>
  <c r="BI335" i="8"/>
  <c r="DK336" i="8"/>
  <c r="AC337" i="8"/>
  <c r="AP336" i="8"/>
  <c r="AQ335" i="8"/>
  <c r="BS335" i="8"/>
  <c r="AB336" i="8"/>
  <c r="BR335" i="8"/>
  <c r="AW356" i="8"/>
  <c r="AR356" i="8"/>
  <c r="AE357" i="8"/>
  <c r="BT356" i="8"/>
  <c r="DN356" i="8"/>
  <c r="AF357" i="8"/>
  <c r="BH335" i="8" l="1"/>
  <c r="BJ335" i="8" s="1"/>
  <c r="AO336" i="8"/>
  <c r="DW336" i="8"/>
  <c r="AQ336" i="8"/>
  <c r="BS336" i="8"/>
  <c r="AB337" i="8"/>
  <c r="AV337" i="8" s="1"/>
  <c r="BR336" i="8"/>
  <c r="DK337" i="8"/>
  <c r="AC338" i="8"/>
  <c r="AP337" i="8"/>
  <c r="AV336" i="8"/>
  <c r="BI336" i="8"/>
  <c r="DN357" i="8"/>
  <c r="AF358" i="8"/>
  <c r="AW357" i="8"/>
  <c r="BT357" i="8"/>
  <c r="AE358" i="8"/>
  <c r="AR357" i="8"/>
  <c r="BH336" i="8" l="1"/>
  <c r="BJ336" i="8" s="1"/>
  <c r="BI337" i="8"/>
  <c r="DW337" i="8"/>
  <c r="AO337" i="8"/>
  <c r="DK338" i="8"/>
  <c r="AC339" i="8"/>
  <c r="AP338" i="8"/>
  <c r="AQ337" i="8"/>
  <c r="BS337" i="8"/>
  <c r="AB338" i="8"/>
  <c r="AV338" i="8" s="1"/>
  <c r="BR337" i="8"/>
  <c r="AW358" i="8"/>
  <c r="AR358" i="8"/>
  <c r="BT358" i="8"/>
  <c r="AE359" i="8"/>
  <c r="DN358" i="8"/>
  <c r="AF359" i="8"/>
  <c r="BH337" i="8" l="1"/>
  <c r="BJ337" i="8" s="1"/>
  <c r="DW338" i="8"/>
  <c r="AO338" i="8"/>
  <c r="BI338" i="8"/>
  <c r="AQ338" i="8"/>
  <c r="BS338" i="8"/>
  <c r="AB339" i="8"/>
  <c r="BR338" i="8"/>
  <c r="AV339" i="8"/>
  <c r="DK339" i="8"/>
  <c r="AC340" i="8"/>
  <c r="AP339" i="8"/>
  <c r="DN359" i="8"/>
  <c r="AF360" i="8"/>
  <c r="AW359" i="8"/>
  <c r="AR359" i="8"/>
  <c r="BT359" i="8"/>
  <c r="AE360" i="8"/>
  <c r="BH338" i="8" l="1"/>
  <c r="BJ338" i="8" s="1"/>
  <c r="DW339" i="8"/>
  <c r="AO339" i="8"/>
  <c r="DK340" i="8"/>
  <c r="AC341" i="8"/>
  <c r="AP340" i="8"/>
  <c r="BS339" i="8"/>
  <c r="AQ339" i="8"/>
  <c r="AB340" i="8"/>
  <c r="BR339" i="8"/>
  <c r="BI339" i="8"/>
  <c r="AW360" i="8"/>
  <c r="AR360" i="8"/>
  <c r="AE361" i="8"/>
  <c r="BT360" i="8"/>
  <c r="DN360" i="8"/>
  <c r="AF361" i="8"/>
  <c r="BH339" i="8" l="1"/>
  <c r="BJ339" i="8" s="1"/>
  <c r="BS340" i="8"/>
  <c r="AQ340" i="8"/>
  <c r="AB341" i="8"/>
  <c r="AV341" i="8" s="1"/>
  <c r="BR340" i="8"/>
  <c r="DK341" i="8"/>
  <c r="AC342" i="8"/>
  <c r="AP341" i="8"/>
  <c r="DW340" i="8"/>
  <c r="AO340" i="8"/>
  <c r="AV340" i="8"/>
  <c r="BI340" i="8"/>
  <c r="DN361" i="8"/>
  <c r="AF362" i="8"/>
  <c r="AW361" i="8"/>
  <c r="AE362" i="8"/>
  <c r="AR361" i="8"/>
  <c r="BT361" i="8"/>
  <c r="BH340" i="8" l="1"/>
  <c r="BJ340" i="8" s="1"/>
  <c r="DW341" i="8"/>
  <c r="AO341" i="8"/>
  <c r="BI341" i="8"/>
  <c r="DK342" i="8"/>
  <c r="AC343" i="8"/>
  <c r="AP342" i="8"/>
  <c r="BI342" i="8" s="1"/>
  <c r="BS341" i="8"/>
  <c r="AQ341" i="8"/>
  <c r="AB342" i="8"/>
  <c r="BR341" i="8"/>
  <c r="AW362" i="8"/>
  <c r="BT362" i="8"/>
  <c r="AR362" i="8"/>
  <c r="AE363" i="8"/>
  <c r="DN362" i="8"/>
  <c r="AF363" i="8"/>
  <c r="BH341" i="8" l="1"/>
  <c r="BJ341" i="8" s="1"/>
  <c r="AO342" i="8"/>
  <c r="DW342" i="8"/>
  <c r="AQ342" i="8"/>
  <c r="BS342" i="8"/>
  <c r="AB343" i="8"/>
  <c r="BR342" i="8"/>
  <c r="AV343" i="8"/>
  <c r="DK343" i="8"/>
  <c r="AC344" i="8"/>
  <c r="AP343" i="8"/>
  <c r="AV342" i="8"/>
  <c r="DN363" i="8"/>
  <c r="AF364" i="8"/>
  <c r="AW363" i="8"/>
  <c r="AR363" i="8"/>
  <c r="BT363" i="8"/>
  <c r="AE364" i="8"/>
  <c r="BH342" i="8" l="1"/>
  <c r="BJ342" i="8" s="1"/>
  <c r="DK344" i="8"/>
  <c r="AC345" i="8"/>
  <c r="AP344" i="8"/>
  <c r="AQ343" i="8"/>
  <c r="BS343" i="8"/>
  <c r="AB344" i="8"/>
  <c r="BR343" i="8"/>
  <c r="DW343" i="8"/>
  <c r="AO343" i="8"/>
  <c r="BI343" i="8"/>
  <c r="AW364" i="8"/>
  <c r="AE365" i="8"/>
  <c r="AR364" i="8"/>
  <c r="BT364" i="8"/>
  <c r="DN364" i="8"/>
  <c r="AF365" i="8"/>
  <c r="BH343" i="8" l="1"/>
  <c r="BJ343" i="8" s="1"/>
  <c r="AO344" i="8"/>
  <c r="DW344" i="8"/>
  <c r="BI344" i="8"/>
  <c r="BS344" i="8"/>
  <c r="AQ344" i="8"/>
  <c r="AB345" i="8"/>
  <c r="BR344" i="8"/>
  <c r="DK345" i="8"/>
  <c r="AC346" i="8"/>
  <c r="AP345" i="8"/>
  <c r="BI345" i="8" s="1"/>
  <c r="AV344" i="8"/>
  <c r="AW365" i="8"/>
  <c r="AE366" i="8"/>
  <c r="AR365" i="8"/>
  <c r="BT365" i="8"/>
  <c r="AF366" i="8"/>
  <c r="DN365" i="8"/>
  <c r="BH344" i="8" l="1"/>
  <c r="BJ344" i="8" s="1"/>
  <c r="BH345" i="8" s="1"/>
  <c r="DK346" i="8"/>
  <c r="AC347" i="8"/>
  <c r="AP346" i="8"/>
  <c r="BI346" i="8" s="1"/>
  <c r="AQ345" i="8"/>
  <c r="BS345" i="8"/>
  <c r="AB346" i="8"/>
  <c r="BR345" i="8"/>
  <c r="DW345" i="8"/>
  <c r="AO345" i="8"/>
  <c r="AV345" i="8"/>
  <c r="AW366" i="8"/>
  <c r="BT366" i="8"/>
  <c r="AR366" i="8"/>
  <c r="AE367" i="8"/>
  <c r="AF367" i="8"/>
  <c r="DN366" i="8"/>
  <c r="BS346" i="8" l="1"/>
  <c r="AQ346" i="8"/>
  <c r="AB347" i="8"/>
  <c r="BR346" i="8"/>
  <c r="AV347" i="8"/>
  <c r="DK347" i="8"/>
  <c r="AC348" i="8"/>
  <c r="AP347" i="8"/>
  <c r="BI347" i="8" s="1"/>
  <c r="AV346" i="8"/>
  <c r="BJ345" i="8"/>
  <c r="BH346" i="8" s="1"/>
  <c r="DW346" i="8"/>
  <c r="AO346" i="8"/>
  <c r="DN367" i="8"/>
  <c r="AF368" i="8"/>
  <c r="AW367" i="8"/>
  <c r="AR367" i="8"/>
  <c r="BT367" i="8"/>
  <c r="AE368" i="8"/>
  <c r="BJ346" i="8" l="1"/>
  <c r="BH347" i="8" s="1"/>
  <c r="AO347" i="8"/>
  <c r="DW347" i="8"/>
  <c r="DK348" i="8"/>
  <c r="AC349" i="8"/>
  <c r="AP348" i="8"/>
  <c r="BS347" i="8"/>
  <c r="AQ347" i="8"/>
  <c r="AB348" i="8"/>
  <c r="BR347" i="8"/>
  <c r="AE369" i="8"/>
  <c r="AF369" i="8"/>
  <c r="AR368" i="8"/>
  <c r="AS374" i="8"/>
  <c r="M267" i="9" s="1"/>
  <c r="BT368" i="8"/>
  <c r="AS375" i="8"/>
  <c r="M268" i="9" s="1"/>
  <c r="DN368" i="8"/>
  <c r="AW368" i="8"/>
  <c r="AF371" i="8"/>
  <c r="AQ348" i="8" l="1"/>
  <c r="BS348" i="8"/>
  <c r="AB349" i="8"/>
  <c r="AV349" i="8" s="1"/>
  <c r="BR348" i="8"/>
  <c r="DK349" i="8"/>
  <c r="AC350" i="8"/>
  <c r="AP349" i="8"/>
  <c r="AV348" i="8"/>
  <c r="BJ347" i="8"/>
  <c r="AO348" i="8"/>
  <c r="DW348" i="8"/>
  <c r="BI348" i="8"/>
  <c r="AW369" i="8"/>
  <c r="AW371" i="8" s="1"/>
  <c r="AE371" i="8" s="1"/>
  <c r="AR371" i="8" s="1"/>
  <c r="DN369" i="8"/>
  <c r="AR369" i="8"/>
  <c r="BT369" i="8"/>
  <c r="AR381" i="8"/>
  <c r="AR373" i="8" s="1"/>
  <c r="J122" i="9" s="1"/>
  <c r="BH348" i="8" l="1"/>
  <c r="BJ348" i="8" s="1"/>
  <c r="BI349" i="8"/>
  <c r="DW349" i="8"/>
  <c r="AO349" i="8"/>
  <c r="DK350" i="8"/>
  <c r="AC351" i="8"/>
  <c r="AP350" i="8"/>
  <c r="BS349" i="8"/>
  <c r="AQ349" i="8"/>
  <c r="AB350" i="8"/>
  <c r="BR349" i="8"/>
  <c r="BH349" i="8" l="1"/>
  <c r="DW350" i="8"/>
  <c r="AO350" i="8"/>
  <c r="BI350" i="8"/>
  <c r="BJ349" i="8"/>
  <c r="AQ350" i="8"/>
  <c r="BS350" i="8"/>
  <c r="AB351" i="8"/>
  <c r="BR350" i="8"/>
  <c r="AV351" i="8"/>
  <c r="DK351" i="8"/>
  <c r="AC352" i="8"/>
  <c r="AP351" i="8"/>
  <c r="BI351" i="8" s="1"/>
  <c r="AV350" i="8"/>
  <c r="BH350" i="8" l="1"/>
  <c r="DK352" i="8"/>
  <c r="AC353" i="8"/>
  <c r="AP352" i="8"/>
  <c r="AQ351" i="8"/>
  <c r="BS351" i="8"/>
  <c r="AB352" i="8"/>
  <c r="AV352" i="8" s="1"/>
  <c r="BR351" i="8"/>
  <c r="AO351" i="8"/>
  <c r="DW351" i="8"/>
  <c r="BJ350" i="8"/>
  <c r="BH351" i="8" s="1"/>
  <c r="BJ351" i="8" l="1"/>
  <c r="AQ352" i="8"/>
  <c r="BS352" i="8"/>
  <c r="AB353" i="8"/>
  <c r="AV353" i="8" s="1"/>
  <c r="BR352" i="8"/>
  <c r="DK353" i="8"/>
  <c r="AC354" i="8"/>
  <c r="AP353" i="8"/>
  <c r="BI353" i="8" s="1"/>
  <c r="BI352" i="8"/>
  <c r="DW352" i="8"/>
  <c r="AO352" i="8"/>
  <c r="BH352" i="8" l="1"/>
  <c r="BJ352" i="8" s="1"/>
  <c r="BH353" i="8" s="1"/>
  <c r="DW353" i="8"/>
  <c r="AO353" i="8"/>
  <c r="DK354" i="8"/>
  <c r="AC355" i="8"/>
  <c r="AP354" i="8"/>
  <c r="AQ353" i="8"/>
  <c r="BS353" i="8"/>
  <c r="AB354" i="8"/>
  <c r="BR353" i="8"/>
  <c r="BJ353" i="8" l="1"/>
  <c r="BI354" i="8"/>
  <c r="AO354" i="8"/>
  <c r="DW354" i="8"/>
  <c r="AQ354" i="8"/>
  <c r="BS354" i="8"/>
  <c r="AB355" i="8"/>
  <c r="BR354" i="8"/>
  <c r="AV355" i="8"/>
  <c r="DK355" i="8"/>
  <c r="AC356" i="8"/>
  <c r="AP355" i="8"/>
  <c r="AV354" i="8"/>
  <c r="BH354" i="8" l="1"/>
  <c r="BJ354" i="8" s="1"/>
  <c r="DK356" i="8"/>
  <c r="AC357" i="8"/>
  <c r="AP356" i="8"/>
  <c r="BS355" i="8"/>
  <c r="AQ355" i="8"/>
  <c r="AB356" i="8"/>
  <c r="AV356" i="8" s="1"/>
  <c r="BR355" i="8"/>
  <c r="BI355" i="8"/>
  <c r="DW355" i="8"/>
  <c r="AO355" i="8"/>
  <c r="BH355" i="8" l="1"/>
  <c r="BJ355" i="8"/>
  <c r="BI356" i="8"/>
  <c r="AO356" i="8"/>
  <c r="DW356" i="8"/>
  <c r="AQ356" i="8"/>
  <c r="BS356" i="8"/>
  <c r="AB357" i="8"/>
  <c r="AV357" i="8" s="1"/>
  <c r="BR356" i="8"/>
  <c r="DK357" i="8"/>
  <c r="AC358" i="8"/>
  <c r="AP357" i="8"/>
  <c r="BI357" i="8" s="1"/>
  <c r="BH356" i="8" l="1"/>
  <c r="BJ356" i="8" s="1"/>
  <c r="BH357" i="8" s="1"/>
  <c r="DK358" i="8"/>
  <c r="AC359" i="8"/>
  <c r="AP358" i="8"/>
  <c r="BI358" i="8" s="1"/>
  <c r="AQ357" i="8"/>
  <c r="BS357" i="8"/>
  <c r="AB358" i="8"/>
  <c r="BR357" i="8"/>
  <c r="DW357" i="8"/>
  <c r="AO357" i="8"/>
  <c r="BJ357" i="8" l="1"/>
  <c r="BH358" i="8" s="1"/>
  <c r="DW358" i="8"/>
  <c r="AO358" i="8"/>
  <c r="AQ358" i="8"/>
  <c r="BS358" i="8"/>
  <c r="AB359" i="8"/>
  <c r="BR358" i="8"/>
  <c r="DK359" i="8"/>
  <c r="AC360" i="8"/>
  <c r="AP359" i="8"/>
  <c r="AV358" i="8"/>
  <c r="BJ358" i="8" l="1"/>
  <c r="DK360" i="8"/>
  <c r="AC361" i="8"/>
  <c r="AP360" i="8"/>
  <c r="AQ359" i="8"/>
  <c r="BS359" i="8"/>
  <c r="AB360" i="8"/>
  <c r="BR359" i="8"/>
  <c r="DW359" i="8"/>
  <c r="AO359" i="8"/>
  <c r="AV359" i="8"/>
  <c r="BI359" i="8"/>
  <c r="BH359" i="8" l="1"/>
  <c r="BJ359" i="8" s="1"/>
  <c r="BI360" i="8"/>
  <c r="AO360" i="8"/>
  <c r="DW360" i="8"/>
  <c r="BS360" i="8"/>
  <c r="AQ360" i="8"/>
  <c r="AB361" i="8"/>
  <c r="BR360" i="8"/>
  <c r="AV361" i="8"/>
  <c r="DK361" i="8"/>
  <c r="AC362" i="8"/>
  <c r="AP361" i="8"/>
  <c r="AV360" i="8"/>
  <c r="BH360" i="8" l="1"/>
  <c r="BJ360" i="8" s="1"/>
  <c r="DK362" i="8"/>
  <c r="AC363" i="8"/>
  <c r="AP362" i="8"/>
  <c r="BS361" i="8"/>
  <c r="AQ361" i="8"/>
  <c r="AB362" i="8"/>
  <c r="BR361" i="8"/>
  <c r="BI361" i="8"/>
  <c r="DW361" i="8"/>
  <c r="AO361" i="8"/>
  <c r="BI362" i="8"/>
  <c r="BH361" i="8" l="1"/>
  <c r="BJ361" i="8" s="1"/>
  <c r="BH362" i="8" s="1"/>
  <c r="DW362" i="8"/>
  <c r="AO362" i="8"/>
  <c r="BS362" i="8"/>
  <c r="AQ362" i="8"/>
  <c r="AB363" i="8"/>
  <c r="AV363" i="8" s="1"/>
  <c r="BR362" i="8"/>
  <c r="DK363" i="8"/>
  <c r="AC364" i="8"/>
  <c r="AP363" i="8"/>
  <c r="AV362" i="8"/>
  <c r="BI363" i="8" l="1"/>
  <c r="AO363" i="8"/>
  <c r="DW363" i="8"/>
  <c r="BJ362" i="8"/>
  <c r="DK364" i="8"/>
  <c r="AC365" i="8"/>
  <c r="AP364" i="8"/>
  <c r="AQ363" i="8"/>
  <c r="BS363" i="8"/>
  <c r="AB364" i="8"/>
  <c r="BR363" i="8"/>
  <c r="BH363" i="8" l="1"/>
  <c r="BJ363" i="8" s="1"/>
  <c r="BS364" i="8"/>
  <c r="AQ364" i="8"/>
  <c r="AB365" i="8"/>
  <c r="AV365" i="8" s="1"/>
  <c r="BR364" i="8"/>
  <c r="DK365" i="8"/>
  <c r="AC366" i="8"/>
  <c r="AP365" i="8"/>
  <c r="BI365" i="8" s="1"/>
  <c r="BI364" i="8"/>
  <c r="AO364" i="8"/>
  <c r="DW364" i="8"/>
  <c r="AV364" i="8"/>
  <c r="BH364" i="8" l="1"/>
  <c r="BJ364" i="8" s="1"/>
  <c r="BH365" i="8" s="1"/>
  <c r="DW365" i="8"/>
  <c r="AO365" i="8"/>
  <c r="DK366" i="8"/>
  <c r="AC367" i="8"/>
  <c r="AP366" i="8"/>
  <c r="AQ365" i="8"/>
  <c r="BS365" i="8"/>
  <c r="AB366" i="8"/>
  <c r="BR365" i="8"/>
  <c r="BS366" i="8" l="1"/>
  <c r="AQ366" i="8"/>
  <c r="AB367" i="8"/>
  <c r="AV367" i="8" s="1"/>
  <c r="BR366" i="8"/>
  <c r="DK367" i="8"/>
  <c r="AC368" i="8"/>
  <c r="AC369" i="8" s="1"/>
  <c r="AP367" i="8"/>
  <c r="BJ365" i="8"/>
  <c r="DW366" i="8"/>
  <c r="AO366" i="8"/>
  <c r="AV366" i="8"/>
  <c r="BI366" i="8"/>
  <c r="BH366" i="8" s="1"/>
  <c r="DK369" i="8" l="1"/>
  <c r="AV369" i="8"/>
  <c r="AP369" i="8"/>
  <c r="BJ366" i="8"/>
  <c r="BI367" i="8"/>
  <c r="AO367" i="8"/>
  <c r="DW367" i="8"/>
  <c r="DK368" i="8"/>
  <c r="AC371" i="8"/>
  <c r="AP368" i="8"/>
  <c r="AQ367" i="8"/>
  <c r="BS367" i="8"/>
  <c r="AB368" i="8"/>
  <c r="AB369" i="8" s="1"/>
  <c r="BR367" i="8"/>
  <c r="AQ369" i="8" l="1"/>
  <c r="BS369" i="8"/>
  <c r="BR369" i="8"/>
  <c r="DW369" i="8"/>
  <c r="AO369" i="8"/>
  <c r="BH367" i="8"/>
  <c r="BJ367" i="8" s="1"/>
  <c r="AO368" i="8"/>
  <c r="AO371" i="8" s="1"/>
  <c r="AC373" i="8" s="1"/>
  <c r="DW368" i="8"/>
  <c r="AP371" i="8"/>
  <c r="AC375" i="8" s="1"/>
  <c r="AB375" i="8" s="1"/>
  <c r="BI368" i="8"/>
  <c r="BK4" i="8" s="1"/>
  <c r="AR375" i="8"/>
  <c r="L268" i="9" s="1"/>
  <c r="AR374" i="8"/>
  <c r="L267" i="9" s="1"/>
  <c r="BS368" i="8"/>
  <c r="AQ368" i="8"/>
  <c r="AQ374" i="8"/>
  <c r="K267" i="9" s="1"/>
  <c r="BR368" i="8"/>
  <c r="AV368" i="8"/>
  <c r="AV371" i="8" s="1"/>
  <c r="AB371" i="8" s="1"/>
  <c r="AQ371" i="8" s="1"/>
  <c r="AQ381" i="8" l="1"/>
  <c r="AQ373" i="8" s="1"/>
  <c r="J121" i="9" s="1"/>
  <c r="AQ375" i="8"/>
  <c r="K268" i="9" s="1"/>
  <c r="CC4" i="8"/>
  <c r="CR4" i="8"/>
  <c r="BO4" i="8"/>
  <c r="BN1" i="8"/>
  <c r="BM4" i="8"/>
  <c r="BK5" i="8" s="1"/>
  <c r="BH368" i="8"/>
  <c r="AC377" i="8"/>
  <c r="AC379" i="8" s="1"/>
  <c r="BM5" i="8" l="1"/>
  <c r="BK6" i="8" s="1"/>
  <c r="CR5" i="8"/>
  <c r="BO5" i="8"/>
  <c r="BJ368" i="8"/>
  <c r="BL4" i="8" s="1"/>
  <c r="BX4" i="8" s="1"/>
  <c r="CA4" i="8" s="1"/>
  <c r="CE4" i="8" s="1"/>
  <c r="BY4" i="8"/>
  <c r="CT4" i="8"/>
  <c r="CB4" i="8" l="1"/>
  <c r="BN4" i="8"/>
  <c r="BL5" i="8" s="1"/>
  <c r="CS4" i="8"/>
  <c r="BP4" i="8"/>
  <c r="CW5" i="8"/>
  <c r="CX5" i="8"/>
  <c r="CY5" i="8"/>
  <c r="CT5" i="8"/>
  <c r="CV5" i="8"/>
  <c r="BX5" i="8"/>
  <c r="BY5" i="8" s="1"/>
  <c r="CC5" i="8"/>
  <c r="CF4" i="8"/>
  <c r="B236" i="9" s="1"/>
  <c r="CA5" i="8"/>
  <c r="BH369" i="8"/>
  <c r="BO6" i="8"/>
  <c r="CR6" i="8"/>
  <c r="BM6" i="8"/>
  <c r="BK7" i="8" s="1"/>
  <c r="CW6" i="8" l="1"/>
  <c r="CT6" i="8"/>
  <c r="CX6" i="8"/>
  <c r="CY6" i="8"/>
  <c r="CV6" i="8"/>
  <c r="BO7" i="8"/>
  <c r="BM7" i="8"/>
  <c r="BK8" i="8" s="1"/>
  <c r="CR7" i="8"/>
  <c r="CE5" i="8"/>
  <c r="CB5" i="8"/>
  <c r="DA4" i="8"/>
  <c r="CU4" i="8"/>
  <c r="C236" i="9"/>
  <c r="M236" i="9"/>
  <c r="L236" i="9"/>
  <c r="BP5" i="8"/>
  <c r="BN5" i="8"/>
  <c r="BL6" i="8" s="1"/>
  <c r="BX6" i="8" s="1"/>
  <c r="BY6" i="8" s="1"/>
  <c r="CS5" i="8"/>
  <c r="BN6" i="8" l="1"/>
  <c r="BL7" i="8" s="1"/>
  <c r="BP6" i="8"/>
  <c r="CS6" i="8"/>
  <c r="BX7" i="8"/>
  <c r="BY7" i="8" s="1"/>
  <c r="CU5" i="8"/>
  <c r="DA5" i="8"/>
  <c r="CV4" i="8"/>
  <c r="CX4" i="8"/>
  <c r="CW4" i="8"/>
  <c r="CY4" i="8"/>
  <c r="CC6" i="8"/>
  <c r="CX7" i="8"/>
  <c r="CY7" i="8"/>
  <c r="CV7" i="8"/>
  <c r="CT7" i="8"/>
  <c r="CW7" i="8"/>
  <c r="E236" i="9"/>
  <c r="N236" i="9"/>
  <c r="B258" i="9"/>
  <c r="CF5" i="8"/>
  <c r="B237" i="9" s="1"/>
  <c r="CB6" i="8"/>
  <c r="BO8" i="8"/>
  <c r="BM8" i="8"/>
  <c r="BK9" i="8" s="1"/>
  <c r="CR8" i="8"/>
  <c r="CZ6" i="8"/>
  <c r="DB6" i="8" s="1"/>
  <c r="DC6" i="8" s="1"/>
  <c r="DD6" i="8" s="1"/>
  <c r="DE6" i="8" s="1"/>
  <c r="CW8" i="8" l="1"/>
  <c r="CV8" i="8"/>
  <c r="CY8" i="8"/>
  <c r="CT8" i="8"/>
  <c r="CX8" i="8"/>
  <c r="CF6" i="8"/>
  <c r="CB7" i="8"/>
  <c r="CC7" i="8"/>
  <c r="CZ4" i="8"/>
  <c r="DB4" i="8" s="1"/>
  <c r="DC4" i="8" s="1"/>
  <c r="DD4" i="8" s="1"/>
  <c r="DE4" i="8" s="1"/>
  <c r="DA6" i="8"/>
  <c r="CU6" i="8"/>
  <c r="BP7" i="8"/>
  <c r="BN7" i="8"/>
  <c r="BL8" i="8" s="1"/>
  <c r="CS7" i="8"/>
  <c r="BX8" i="8"/>
  <c r="BY8" i="8" s="1"/>
  <c r="BM9" i="8"/>
  <c r="BK10" i="8" s="1"/>
  <c r="BO9" i="8"/>
  <c r="CR9" i="8"/>
  <c r="M237" i="9"/>
  <c r="C237" i="9"/>
  <c r="L237" i="9"/>
  <c r="Q236" i="9"/>
  <c r="R236" i="9"/>
  <c r="O236" i="9"/>
  <c r="P236" i="9"/>
  <c r="CZ7" i="8"/>
  <c r="DB7" i="8" s="1"/>
  <c r="DC7" i="8" s="1"/>
  <c r="DD7" i="8" s="1"/>
  <c r="DE7" i="8" s="1"/>
  <c r="CA6" i="8"/>
  <c r="CC8" i="8" l="1"/>
  <c r="CZ8" i="8"/>
  <c r="DB8" i="8" s="1"/>
  <c r="DC8" i="8" s="1"/>
  <c r="DD8" i="8" s="1"/>
  <c r="DE8" i="8" s="1"/>
  <c r="CS8" i="8"/>
  <c r="BN8" i="8"/>
  <c r="BL9" i="8" s="1"/>
  <c r="BP8" i="8"/>
  <c r="BX9" i="8"/>
  <c r="BY9" i="8" s="1"/>
  <c r="CE6" i="8"/>
  <c r="B238" i="9" s="1"/>
  <c r="CA7" i="8"/>
  <c r="E237" i="9"/>
  <c r="N237" i="9"/>
  <c r="B259" i="9"/>
  <c r="C259" i="9" s="1"/>
  <c r="CW9" i="8"/>
  <c r="CX9" i="8"/>
  <c r="CY9" i="8"/>
  <c r="CT9" i="8"/>
  <c r="CV9" i="8"/>
  <c r="CR10" i="8"/>
  <c r="BM10" i="8"/>
  <c r="BK11" i="8" s="1"/>
  <c r="BO10" i="8"/>
  <c r="DA7" i="8"/>
  <c r="CU7" i="8"/>
  <c r="CF7" i="8"/>
  <c r="CB8" i="8"/>
  <c r="CZ9" i="8" l="1"/>
  <c r="DB9" i="8" s="1"/>
  <c r="DC9" i="8" s="1"/>
  <c r="DD9" i="8" s="1"/>
  <c r="DE9" i="8" s="1"/>
  <c r="CB9" i="8"/>
  <c r="CF8" i="8"/>
  <c r="CC9" i="8"/>
  <c r="CC10" i="8" s="1"/>
  <c r="BO11" i="8"/>
  <c r="CR11" i="8"/>
  <c r="BM11" i="8"/>
  <c r="BK12" i="8" s="1"/>
  <c r="H258" i="9"/>
  <c r="F258" i="9"/>
  <c r="E258" i="9"/>
  <c r="G258" i="9"/>
  <c r="D258" i="9"/>
  <c r="K258" i="9"/>
  <c r="CE7" i="8"/>
  <c r="B239" i="9" s="1"/>
  <c r="CA8" i="8"/>
  <c r="BP9" i="8"/>
  <c r="CS9" i="8"/>
  <c r="BN9" i="8"/>
  <c r="BL10" i="8" s="1"/>
  <c r="BX10" i="8"/>
  <c r="BY10" i="8" s="1"/>
  <c r="CX10" i="8"/>
  <c r="CV10" i="8"/>
  <c r="CW10" i="8"/>
  <c r="CT10" i="8"/>
  <c r="CY10" i="8"/>
  <c r="P237" i="9"/>
  <c r="R237" i="9"/>
  <c r="O237" i="9"/>
  <c r="Q237" i="9"/>
  <c r="M238" i="9"/>
  <c r="C238" i="9"/>
  <c r="D286" i="9" s="1"/>
  <c r="K286" i="9" s="1"/>
  <c r="K284" i="9" s="1"/>
  <c r="I145" i="9" s="1"/>
  <c r="L238" i="9"/>
  <c r="CU8" i="8"/>
  <c r="DA8" i="8"/>
  <c r="B282" i="9" l="1"/>
  <c r="I106" i="9"/>
  <c r="I341" i="9"/>
  <c r="CZ10" i="8"/>
  <c r="DB10" i="8" s="1"/>
  <c r="DC10" i="8" s="1"/>
  <c r="DD10" i="8" s="1"/>
  <c r="DE10" i="8" s="1"/>
  <c r="DA9" i="8"/>
  <c r="CU9" i="8"/>
  <c r="CA9" i="8"/>
  <c r="CE8" i="8"/>
  <c r="B240" i="9" s="1"/>
  <c r="N258" i="9"/>
  <c r="M258" i="9"/>
  <c r="O258" i="9"/>
  <c r="L258" i="9"/>
  <c r="CR12" i="8"/>
  <c r="BM12" i="8"/>
  <c r="BK13" i="8" s="1"/>
  <c r="BO12" i="8"/>
  <c r="H251" i="9"/>
  <c r="H253" i="9" s="1"/>
  <c r="B260" i="9"/>
  <c r="E238" i="9"/>
  <c r="N238" i="9"/>
  <c r="B249" i="9"/>
  <c r="BP10" i="8"/>
  <c r="BN10" i="8"/>
  <c r="BL11" i="8" s="1"/>
  <c r="CS10" i="8"/>
  <c r="BX11" i="8"/>
  <c r="BY11" i="8" s="1"/>
  <c r="M239" i="9"/>
  <c r="L239" i="9"/>
  <c r="C239" i="9"/>
  <c r="CX11" i="8"/>
  <c r="CT11" i="8"/>
  <c r="CW11" i="8"/>
  <c r="CY11" i="8"/>
  <c r="CV11" i="8"/>
  <c r="CF9" i="8"/>
  <c r="CB10" i="8"/>
  <c r="CZ11" i="8" l="1"/>
  <c r="DB11" i="8" s="1"/>
  <c r="DC11" i="8" s="1"/>
  <c r="DD11" i="8" s="1"/>
  <c r="DE11" i="8" s="1"/>
  <c r="P258" i="9"/>
  <c r="CS11" i="8"/>
  <c r="BN11" i="8"/>
  <c r="BL12" i="8" s="1"/>
  <c r="BP11" i="8"/>
  <c r="BX12" i="8"/>
  <c r="BY12" i="8" s="1"/>
  <c r="CB11" i="8"/>
  <c r="CF10" i="8"/>
  <c r="CC11" i="8"/>
  <c r="CC12" i="8" s="1"/>
  <c r="N239" i="9"/>
  <c r="E239" i="9"/>
  <c r="B261" i="9"/>
  <c r="H260" i="9" s="1"/>
  <c r="CU10" i="8"/>
  <c r="DA10" i="8"/>
  <c r="R238" i="9"/>
  <c r="O238" i="9"/>
  <c r="Q238" i="9"/>
  <c r="P238" i="9"/>
  <c r="CY12" i="8"/>
  <c r="CX12" i="8"/>
  <c r="CT12" i="8"/>
  <c r="CW12" i="8"/>
  <c r="CV12" i="8"/>
  <c r="L240" i="9"/>
  <c r="M240" i="9"/>
  <c r="C240" i="9"/>
  <c r="BM13" i="8"/>
  <c r="BK14" i="8" s="1"/>
  <c r="BO13" i="8"/>
  <c r="CA10" i="8"/>
  <c r="CE9" i="8"/>
  <c r="B241" i="9" s="1"/>
  <c r="C261" i="9" l="1"/>
  <c r="E260" i="9"/>
  <c r="CZ12" i="8"/>
  <c r="DB12" i="8" s="1"/>
  <c r="DC12" i="8" s="1"/>
  <c r="DD12" i="8" s="1"/>
  <c r="DE12" i="8" s="1"/>
  <c r="D260" i="9"/>
  <c r="BP12" i="8"/>
  <c r="CS12" i="8"/>
  <c r="BN12" i="8"/>
  <c r="BL13" i="8" s="1"/>
  <c r="BX13" i="8"/>
  <c r="BY13" i="8" s="1"/>
  <c r="L241" i="9"/>
  <c r="M241" i="9"/>
  <c r="C241" i="9"/>
  <c r="BM14" i="8"/>
  <c r="BK15" i="8" s="1"/>
  <c r="BO14" i="8"/>
  <c r="O239" i="9"/>
  <c r="R239" i="9"/>
  <c r="P239" i="9"/>
  <c r="Q239" i="9"/>
  <c r="CE10" i="8"/>
  <c r="B242" i="9" s="1"/>
  <c r="CA11" i="8"/>
  <c r="B262" i="9"/>
  <c r="N240" i="9"/>
  <c r="E240" i="9"/>
  <c r="K259" i="9"/>
  <c r="F260" i="9"/>
  <c r="G260" i="9"/>
  <c r="CB12" i="8"/>
  <c r="CC13" i="8" s="1"/>
  <c r="CF11" i="8"/>
  <c r="DA11" i="8"/>
  <c r="CU11" i="8"/>
  <c r="M242" i="9" l="1"/>
  <c r="L242" i="9"/>
  <c r="C242" i="9"/>
  <c r="BM15" i="8"/>
  <c r="BK16" i="8" s="1"/>
  <c r="BO15" i="8"/>
  <c r="DA12" i="8"/>
  <c r="CU12" i="8"/>
  <c r="CF12" i="8"/>
  <c r="CB13" i="8"/>
  <c r="CC14" i="8" s="1"/>
  <c r="N259" i="9"/>
  <c r="L259" i="9"/>
  <c r="M259" i="9"/>
  <c r="O259" i="9"/>
  <c r="O240" i="9"/>
  <c r="R240" i="9"/>
  <c r="P240" i="9"/>
  <c r="Q240" i="9"/>
  <c r="CE11" i="8"/>
  <c r="B243" i="9" s="1"/>
  <c r="CA12" i="8"/>
  <c r="N241" i="9"/>
  <c r="E241" i="9"/>
  <c r="B263" i="9"/>
  <c r="H262" i="9" s="1"/>
  <c r="BP13" i="8"/>
  <c r="BN13" i="8"/>
  <c r="BL14" i="8" s="1"/>
  <c r="BX14" i="8"/>
  <c r="BY14" i="8" s="1"/>
  <c r="C263" i="9" l="1"/>
  <c r="P259" i="9"/>
  <c r="BN14" i="8"/>
  <c r="BL15" i="8" s="1"/>
  <c r="BP14" i="8"/>
  <c r="BX15" i="8"/>
  <c r="BY15" i="8" s="1"/>
  <c r="R241" i="9"/>
  <c r="P241" i="9"/>
  <c r="O241" i="9"/>
  <c r="Q241" i="9"/>
  <c r="E262" i="9"/>
  <c r="D262" i="9"/>
  <c r="BO16" i="8"/>
  <c r="BM16" i="8"/>
  <c r="BK17" i="8" s="1"/>
  <c r="C243" i="9"/>
  <c r="M243" i="9"/>
  <c r="L243" i="9"/>
  <c r="CA13" i="8"/>
  <c r="CE12" i="8"/>
  <c r="B244" i="9" s="1"/>
  <c r="CF13" i="8"/>
  <c r="CB14" i="8"/>
  <c r="F262" i="9"/>
  <c r="K260" i="9"/>
  <c r="G262" i="9"/>
  <c r="E242" i="9"/>
  <c r="N242" i="9"/>
  <c r="B264" i="9"/>
  <c r="M244" i="9" l="1"/>
  <c r="C244" i="9"/>
  <c r="L244" i="9"/>
  <c r="E243" i="9"/>
  <c r="N243" i="9"/>
  <c r="B265" i="9"/>
  <c r="D264" i="9" s="1"/>
  <c r="M260" i="9"/>
  <c r="O260" i="9"/>
  <c r="L260" i="9"/>
  <c r="N260" i="9"/>
  <c r="CB15" i="8"/>
  <c r="CF14" i="8"/>
  <c r="R242" i="9"/>
  <c r="O242" i="9"/>
  <c r="Q242" i="9"/>
  <c r="P242" i="9"/>
  <c r="CA14" i="8"/>
  <c r="CE13" i="8"/>
  <c r="B245" i="9" s="1"/>
  <c r="BO17" i="8"/>
  <c r="BM17" i="8"/>
  <c r="BK18" i="8" s="1"/>
  <c r="CC15" i="8"/>
  <c r="CC16" i="8" s="1"/>
  <c r="BP15" i="8"/>
  <c r="BN15" i="8"/>
  <c r="BL16" i="8" s="1"/>
  <c r="BX16" i="8"/>
  <c r="BY16" i="8" s="1"/>
  <c r="C265" i="9" l="1"/>
  <c r="F264" i="9"/>
  <c r="P260" i="9"/>
  <c r="G264" i="9"/>
  <c r="K261" i="9"/>
  <c r="BO18" i="8"/>
  <c r="BM18" i="8"/>
  <c r="BK19" i="8" s="1"/>
  <c r="P243" i="9"/>
  <c r="O243" i="9"/>
  <c r="R243" i="9"/>
  <c r="Q243" i="9"/>
  <c r="M245" i="9"/>
  <c r="C245" i="9"/>
  <c r="L245" i="9"/>
  <c r="BN16" i="8"/>
  <c r="BL17" i="8" s="1"/>
  <c r="BP16" i="8"/>
  <c r="BX17" i="8"/>
  <c r="BY17" i="8" s="1"/>
  <c r="CE14" i="8"/>
  <c r="B246" i="9" s="1"/>
  <c r="CA15" i="8"/>
  <c r="CB16" i="8"/>
  <c r="CC17" i="8" s="1"/>
  <c r="CF15" i="8"/>
  <c r="E264" i="9"/>
  <c r="H264" i="9"/>
  <c r="E244" i="9"/>
  <c r="B266" i="9"/>
  <c r="N244" i="9"/>
  <c r="M261" i="9" l="1"/>
  <c r="O261" i="9"/>
  <c r="L261" i="9"/>
  <c r="N261" i="9"/>
  <c r="CA16" i="8"/>
  <c r="CE15" i="8"/>
  <c r="B247" i="9" s="1"/>
  <c r="BO19" i="8"/>
  <c r="BM19" i="8"/>
  <c r="BK20" i="8" s="1"/>
  <c r="R244" i="9"/>
  <c r="P244" i="9"/>
  <c r="O244" i="9"/>
  <c r="Q244" i="9"/>
  <c r="CF16" i="8"/>
  <c r="CB17" i="8"/>
  <c r="L246" i="9"/>
  <c r="M246" i="9"/>
  <c r="C246" i="9"/>
  <c r="BN17" i="8"/>
  <c r="BL18" i="8" s="1"/>
  <c r="BX18" i="8" s="1"/>
  <c r="BY18" i="8" s="1"/>
  <c r="BP17" i="8"/>
  <c r="N245" i="9"/>
  <c r="E245" i="9"/>
  <c r="B267" i="9"/>
  <c r="H266" i="9" s="1"/>
  <c r="C267" i="9" l="1"/>
  <c r="P261" i="9"/>
  <c r="CA17" i="8"/>
  <c r="CE16" i="8"/>
  <c r="K262" i="9"/>
  <c r="F266" i="9"/>
  <c r="O245" i="9"/>
  <c r="Q245" i="9"/>
  <c r="R245" i="9"/>
  <c r="P245" i="9"/>
  <c r="B268" i="9"/>
  <c r="N246" i="9"/>
  <c r="E246" i="9"/>
  <c r="BP18" i="8"/>
  <c r="BN18" i="8"/>
  <c r="BL19" i="8" s="1"/>
  <c r="BX19" i="8"/>
  <c r="BY19" i="8" s="1"/>
  <c r="CB18" i="8"/>
  <c r="CF17" i="8"/>
  <c r="BM20" i="8"/>
  <c r="BK21" i="8" s="1"/>
  <c r="BO20" i="8"/>
  <c r="M247" i="9"/>
  <c r="L247" i="9"/>
  <c r="C247" i="9"/>
  <c r="G266" i="9"/>
  <c r="I188" i="9" s="1"/>
  <c r="E266" i="9"/>
  <c r="D266" i="9"/>
  <c r="CC18" i="8"/>
  <c r="CC19" i="8" s="1"/>
  <c r="Q246" i="9" l="1"/>
  <c r="P246" i="9"/>
  <c r="O246" i="9"/>
  <c r="R246" i="9"/>
  <c r="N247" i="9"/>
  <c r="B269" i="9"/>
  <c r="H268" i="9" s="1"/>
  <c r="E247" i="9"/>
  <c r="BO21" i="8"/>
  <c r="BM21" i="8"/>
  <c r="BK22" i="8" s="1"/>
  <c r="CB19" i="8"/>
  <c r="CF18" i="8"/>
  <c r="BN19" i="8"/>
  <c r="BL20" i="8" s="1"/>
  <c r="BP19" i="8"/>
  <c r="BX20" i="8"/>
  <c r="BY20" i="8" s="1"/>
  <c r="M262" i="9"/>
  <c r="N262" i="9"/>
  <c r="O262" i="9"/>
  <c r="L262" i="9"/>
  <c r="CE17" i="8"/>
  <c r="CA18" i="8"/>
  <c r="C269" i="9" l="1"/>
  <c r="G268" i="9"/>
  <c r="K263" i="9"/>
  <c r="CO152" i="8" s="1"/>
  <c r="CO203" i="8"/>
  <c r="CO81" i="8"/>
  <c r="CO296" i="8"/>
  <c r="CO191" i="8"/>
  <c r="CO278" i="8"/>
  <c r="CO149" i="8"/>
  <c r="CO189" i="8"/>
  <c r="CO106" i="8"/>
  <c r="CO358" i="8"/>
  <c r="CO361" i="8"/>
  <c r="CO155" i="8"/>
  <c r="CO324" i="8"/>
  <c r="CO85" i="8"/>
  <c r="CO54" i="8"/>
  <c r="CO280" i="8"/>
  <c r="CO269" i="8"/>
  <c r="CO141" i="8"/>
  <c r="CO281" i="8"/>
  <c r="CO89" i="8"/>
  <c r="CO333" i="8"/>
  <c r="CO217" i="8"/>
  <c r="CO200" i="8"/>
  <c r="CO162" i="8"/>
  <c r="CO145" i="8"/>
  <c r="CO21" i="8"/>
  <c r="CO224" i="8"/>
  <c r="CO271" i="8"/>
  <c r="CO218" i="8"/>
  <c r="CO339" i="8"/>
  <c r="CO36" i="8"/>
  <c r="CO196" i="8"/>
  <c r="CO238" i="8"/>
  <c r="CO27" i="8"/>
  <c r="F268" i="9"/>
  <c r="E268" i="9"/>
  <c r="M263" i="9" s="1"/>
  <c r="D268" i="9"/>
  <c r="P262" i="9"/>
  <c r="BO22" i="8"/>
  <c r="BM22" i="8"/>
  <c r="BK23" i="8" s="1"/>
  <c r="Q247" i="9"/>
  <c r="O247" i="9"/>
  <c r="R247" i="9"/>
  <c r="P247" i="9"/>
  <c r="L249" i="9"/>
  <c r="CA19" i="8"/>
  <c r="CE18" i="8"/>
  <c r="O263" i="9"/>
  <c r="BP20" i="8"/>
  <c r="BN20" i="8"/>
  <c r="BL21" i="8" s="1"/>
  <c r="BX21" i="8"/>
  <c r="BY21" i="8" s="1"/>
  <c r="CB20" i="8"/>
  <c r="CF19" i="8"/>
  <c r="CC20" i="8"/>
  <c r="L263" i="9" l="1"/>
  <c r="N263" i="9"/>
  <c r="CO188" i="8"/>
  <c r="CO180" i="8"/>
  <c r="CO368" i="8"/>
  <c r="CO166" i="8"/>
  <c r="CO227" i="8"/>
  <c r="CO273" i="8"/>
  <c r="CO121" i="8"/>
  <c r="CO316" i="8"/>
  <c r="CO302" i="8"/>
  <c r="CO72" i="8"/>
  <c r="CO30" i="8"/>
  <c r="CO87" i="8"/>
  <c r="CO284" i="8"/>
  <c r="CO58" i="8"/>
  <c r="CO71" i="8"/>
  <c r="CO28" i="8"/>
  <c r="CO355" i="8"/>
  <c r="CO362" i="8"/>
  <c r="CO95" i="8"/>
  <c r="CO253" i="8"/>
  <c r="CO70" i="8"/>
  <c r="CO34" i="8"/>
  <c r="CO348" i="8"/>
  <c r="CO17" i="8"/>
  <c r="CO193" i="8"/>
  <c r="CO33" i="8"/>
  <c r="CO223" i="8"/>
  <c r="CO111" i="8"/>
  <c r="CO118" i="8"/>
  <c r="CO26" i="8"/>
  <c r="CO37" i="8"/>
  <c r="CO68" i="8"/>
  <c r="CO347" i="8"/>
  <c r="CO44" i="8"/>
  <c r="CO194" i="8"/>
  <c r="CO22" i="8"/>
  <c r="CO57" i="8"/>
  <c r="CO103" i="8"/>
  <c r="CO321" i="8"/>
  <c r="CO365" i="8"/>
  <c r="CO318" i="8"/>
  <c r="CO19" i="8"/>
  <c r="CO177" i="8"/>
  <c r="CO314" i="8"/>
  <c r="CO59" i="8"/>
  <c r="CO359" i="8"/>
  <c r="CO115" i="8"/>
  <c r="CO263" i="8"/>
  <c r="CO168" i="8"/>
  <c r="CO322" i="8"/>
  <c r="CO35" i="8"/>
  <c r="CO97" i="8"/>
  <c r="CO14" i="8"/>
  <c r="CO79" i="8"/>
  <c r="CO235" i="8"/>
  <c r="CO6" i="8"/>
  <c r="CO245" i="8"/>
  <c r="CO343" i="8"/>
  <c r="CO120" i="8"/>
  <c r="CO29" i="8"/>
  <c r="CO287" i="8"/>
  <c r="CO335" i="8"/>
  <c r="CO164" i="8"/>
  <c r="CO125" i="8"/>
  <c r="CO144" i="8"/>
  <c r="CO225" i="8"/>
  <c r="CO13" i="8"/>
  <c r="CO75" i="8"/>
  <c r="CO244" i="8"/>
  <c r="CO20" i="8"/>
  <c r="CO151" i="8"/>
  <c r="CO139" i="8"/>
  <c r="CO308" i="8"/>
  <c r="CO43" i="8"/>
  <c r="CO285" i="8"/>
  <c r="CO239" i="8"/>
  <c r="CO41" i="8"/>
  <c r="CO298" i="8"/>
  <c r="CO299" i="8"/>
  <c r="CO257" i="8"/>
  <c r="CO201" i="8"/>
  <c r="CO90" i="8"/>
  <c r="CO282" i="8"/>
  <c r="CO11" i="8"/>
  <c r="CO171" i="8"/>
  <c r="CO128" i="8"/>
  <c r="CO76" i="8"/>
  <c r="CO131" i="8"/>
  <c r="CO312" i="8"/>
  <c r="CO135" i="8"/>
  <c r="CO100" i="8"/>
  <c r="CO219" i="8"/>
  <c r="CO301" i="8"/>
  <c r="CO153" i="8"/>
  <c r="CO31" i="8"/>
  <c r="CO274" i="8"/>
  <c r="CO290" i="8"/>
  <c r="CO24" i="8"/>
  <c r="CO210" i="8"/>
  <c r="CO270" i="8"/>
  <c r="CO262" i="8"/>
  <c r="CO317" i="8"/>
  <c r="CO176" i="8"/>
  <c r="CO283" i="8"/>
  <c r="CO88" i="8"/>
  <c r="CO240" i="8"/>
  <c r="CO61" i="8"/>
  <c r="CO305" i="8"/>
  <c r="CO289" i="8"/>
  <c r="CO234" i="8"/>
  <c r="CO346" i="8"/>
  <c r="CO183" i="8"/>
  <c r="CO64" i="8"/>
  <c r="CO313" i="8"/>
  <c r="CO277" i="8"/>
  <c r="CO366" i="8"/>
  <c r="CO179" i="8"/>
  <c r="CO325" i="8"/>
  <c r="CO250" i="8"/>
  <c r="CO356" i="8"/>
  <c r="CO187" i="8"/>
  <c r="CO236" i="8"/>
  <c r="CO331" i="8"/>
  <c r="CO82" i="8"/>
  <c r="CO354" i="8"/>
  <c r="CO110" i="8"/>
  <c r="CO65" i="8"/>
  <c r="CO369" i="8"/>
  <c r="CO102" i="8"/>
  <c r="CO134" i="8"/>
  <c r="CO96" i="8"/>
  <c r="CO130" i="8"/>
  <c r="CO209" i="8"/>
  <c r="CO133" i="8"/>
  <c r="CO16" i="8"/>
  <c r="CO192" i="8"/>
  <c r="CO345" i="8"/>
  <c r="CO12" i="8"/>
  <c r="CO93" i="8"/>
  <c r="CO170" i="8"/>
  <c r="CO207" i="8"/>
  <c r="CO84" i="8"/>
  <c r="CO56" i="8"/>
  <c r="CO220" i="8"/>
  <c r="CO40" i="8"/>
  <c r="CO286" i="8"/>
  <c r="CO124" i="8"/>
  <c r="CO247" i="8"/>
  <c r="CO74" i="8"/>
  <c r="CO107" i="8"/>
  <c r="CO165" i="8"/>
  <c r="CO254" i="8"/>
  <c r="CO126" i="8"/>
  <c r="CO364" i="8"/>
  <c r="CO15" i="8"/>
  <c r="CO50" i="8"/>
  <c r="CO206" i="8"/>
  <c r="CO246" i="8"/>
  <c r="CO182" i="8"/>
  <c r="CO260" i="8"/>
  <c r="CO255" i="8"/>
  <c r="CO42" i="8"/>
  <c r="CO122" i="8"/>
  <c r="CO156" i="8"/>
  <c r="CO252" i="8"/>
  <c r="CO5" i="8"/>
  <c r="CO330" i="8"/>
  <c r="CO185" i="8"/>
  <c r="CO92" i="8"/>
  <c r="CO77" i="8"/>
  <c r="CO264" i="8"/>
  <c r="CO213" i="8"/>
  <c r="CO367" i="8"/>
  <c r="CO32" i="8"/>
  <c r="CO116" i="8"/>
  <c r="CO360" i="8"/>
  <c r="CO174" i="8"/>
  <c r="CO259" i="8"/>
  <c r="CO204" i="8"/>
  <c r="CO101" i="8"/>
  <c r="CO332" i="8"/>
  <c r="CO300" i="8"/>
  <c r="CO334" i="8"/>
  <c r="CO229" i="8"/>
  <c r="CO350" i="8"/>
  <c r="CO55" i="8"/>
  <c r="CO184" i="8"/>
  <c r="CO288" i="8"/>
  <c r="CO7" i="8"/>
  <c r="CO294" i="8"/>
  <c r="CO249" i="8"/>
  <c r="CO340" i="8"/>
  <c r="CO67" i="8"/>
  <c r="CO117" i="8"/>
  <c r="CO45" i="8"/>
  <c r="CO160" i="8"/>
  <c r="CO23" i="8"/>
  <c r="CO9" i="8"/>
  <c r="CO51" i="8"/>
  <c r="CO104" i="8"/>
  <c r="CO99" i="8"/>
  <c r="CO231" i="8"/>
  <c r="CO48" i="8"/>
  <c r="CO199" i="8"/>
  <c r="CO190" i="8"/>
  <c r="CO341" i="8"/>
  <c r="CO161" i="8"/>
  <c r="CO268" i="8"/>
  <c r="CO336" i="8"/>
  <c r="CO222" i="8"/>
  <c r="CO352" i="8"/>
  <c r="CO363" i="8"/>
  <c r="CO198" i="8"/>
  <c r="CO98" i="8"/>
  <c r="CO127" i="8"/>
  <c r="CO137" i="8"/>
  <c r="CO4" i="8"/>
  <c r="CN4" i="8" s="1"/>
  <c r="CO86" i="8"/>
  <c r="CO69" i="8"/>
  <c r="CO242" i="8"/>
  <c r="CO326" i="8"/>
  <c r="CO303" i="8"/>
  <c r="CO328" i="8"/>
  <c r="CO138" i="8"/>
  <c r="CO83" i="8"/>
  <c r="CO80" i="8"/>
  <c r="CO337" i="8"/>
  <c r="CO214" i="8"/>
  <c r="CO143" i="8"/>
  <c r="CO311" i="8"/>
  <c r="CO258" i="8"/>
  <c r="CO275" i="8"/>
  <c r="CO39" i="8"/>
  <c r="CO181" i="8"/>
  <c r="CO66" i="8"/>
  <c r="CO323" i="8"/>
  <c r="CO292" i="8"/>
  <c r="CO78" i="8"/>
  <c r="CO297" i="8"/>
  <c r="CO105" i="8"/>
  <c r="CO267" i="8"/>
  <c r="CO344" i="8"/>
  <c r="CO175" i="8"/>
  <c r="CO237" i="8"/>
  <c r="CO230" i="8"/>
  <c r="CO272" i="8"/>
  <c r="CO251" i="8"/>
  <c r="CO266" i="8"/>
  <c r="CO112" i="8"/>
  <c r="CO351" i="8"/>
  <c r="CO304" i="8"/>
  <c r="CO108" i="8"/>
  <c r="CO216" i="8"/>
  <c r="CO158" i="8"/>
  <c r="CO241" i="8"/>
  <c r="CO353" i="8"/>
  <c r="CO159" i="8"/>
  <c r="CO329" i="8"/>
  <c r="CO73" i="8"/>
  <c r="CO226" i="8"/>
  <c r="CO136" i="8"/>
  <c r="CO10" i="8"/>
  <c r="CO211" i="8"/>
  <c r="CO195" i="8"/>
  <c r="CO276" i="8"/>
  <c r="CO320" i="8"/>
  <c r="CO172" i="8"/>
  <c r="CO265" i="8"/>
  <c r="CO123" i="8"/>
  <c r="CO279" i="8"/>
  <c r="CO47" i="8"/>
  <c r="CO109" i="8"/>
  <c r="CO291" i="8"/>
  <c r="CO91" i="8"/>
  <c r="CO154" i="8"/>
  <c r="CO310" i="8"/>
  <c r="CO157" i="8"/>
  <c r="CO338" i="8"/>
  <c r="CO307" i="8"/>
  <c r="CO202" i="8"/>
  <c r="CO197" i="8"/>
  <c r="CO150" i="8"/>
  <c r="CO8" i="8"/>
  <c r="CO306" i="8"/>
  <c r="CO25" i="8"/>
  <c r="CO212" i="8"/>
  <c r="CO132" i="8"/>
  <c r="CO94" i="8"/>
  <c r="CO18" i="8"/>
  <c r="CO63" i="8"/>
  <c r="CO147" i="8"/>
  <c r="CO205" i="8"/>
  <c r="CO60" i="8"/>
  <c r="CO319" i="8"/>
  <c r="CO167" i="8"/>
  <c r="CO173" i="8"/>
  <c r="CO248" i="8"/>
  <c r="CO62" i="8"/>
  <c r="CO309" i="8"/>
  <c r="CO142" i="8"/>
  <c r="CO186" i="8"/>
  <c r="CO52" i="8"/>
  <c r="CO342" i="8"/>
  <c r="CO233" i="8"/>
  <c r="CO146" i="8"/>
  <c r="CO140" i="8"/>
  <c r="CO256" i="8"/>
  <c r="CO357" i="8"/>
  <c r="CO349" i="8"/>
  <c r="CO228" i="8"/>
  <c r="CO232" i="8"/>
  <c r="CO53" i="8"/>
  <c r="CO49" i="8"/>
  <c r="CO38" i="8"/>
  <c r="CO169" i="8"/>
  <c r="CO295" i="8"/>
  <c r="CO119" i="8"/>
  <c r="CO114" i="8"/>
  <c r="CO293" i="8"/>
  <c r="CO221" i="8"/>
  <c r="CO315" i="8"/>
  <c r="CO243" i="8"/>
  <c r="CO163" i="8"/>
  <c r="CO178" i="8"/>
  <c r="CO148" i="8"/>
  <c r="CO208" i="8"/>
  <c r="CO46" i="8"/>
  <c r="CO327" i="8"/>
  <c r="CO129" i="8"/>
  <c r="CO113" i="8"/>
  <c r="CO215" i="8"/>
  <c r="P263" i="9"/>
  <c r="CN54" i="8" s="1"/>
  <c r="CO261" i="8"/>
  <c r="BP21" i="8"/>
  <c r="BN21" i="8"/>
  <c r="BL22" i="8" s="1"/>
  <c r="BX22" i="8"/>
  <c r="BY22" i="8" s="1"/>
  <c r="BO23" i="8"/>
  <c r="BM23" i="8"/>
  <c r="BK24" i="8" s="1"/>
  <c r="CA20" i="8"/>
  <c r="CE19" i="8"/>
  <c r="CN91" i="8" l="1"/>
  <c r="CN173" i="8"/>
  <c r="CN40" i="8"/>
  <c r="CN356" i="8"/>
  <c r="CN367" i="8"/>
  <c r="CN71" i="8"/>
  <c r="CN208" i="8"/>
  <c r="CN52" i="8"/>
  <c r="CN320" i="8"/>
  <c r="CN252" i="8"/>
  <c r="CN121" i="8"/>
  <c r="CN242" i="8"/>
  <c r="CN312" i="8"/>
  <c r="CN243" i="8"/>
  <c r="CN338" i="8"/>
  <c r="CN279" i="8"/>
  <c r="CN10" i="8"/>
  <c r="CN92" i="8"/>
  <c r="CN206" i="8"/>
  <c r="CN189" i="8"/>
  <c r="CN323" i="8"/>
  <c r="CN16" i="8"/>
  <c r="CN283" i="8"/>
  <c r="CN37" i="8"/>
  <c r="CN351" i="8"/>
  <c r="CN354" i="8"/>
  <c r="CN228" i="8"/>
  <c r="CN46" i="8"/>
  <c r="CN18" i="8"/>
  <c r="CN154" i="8"/>
  <c r="CN109" i="8"/>
  <c r="CN265" i="8"/>
  <c r="CN195" i="8"/>
  <c r="CN116" i="8"/>
  <c r="CN264" i="8"/>
  <c r="CN330" i="8"/>
  <c r="CN122" i="8"/>
  <c r="CN107" i="8"/>
  <c r="CN207" i="8"/>
  <c r="CN162" i="8"/>
  <c r="CN368" i="8"/>
  <c r="CN237" i="8"/>
  <c r="CN214" i="8"/>
  <c r="CN190" i="8"/>
  <c r="CN369" i="8"/>
  <c r="CN183" i="8"/>
  <c r="CN290" i="8"/>
  <c r="CN308" i="8"/>
  <c r="CN348" i="8"/>
  <c r="CN184" i="8"/>
  <c r="CN44" i="8"/>
  <c r="CN137" i="8"/>
  <c r="CN20" i="8"/>
  <c r="CN38" i="8"/>
  <c r="CN357" i="8"/>
  <c r="CN233" i="8"/>
  <c r="CN306" i="8"/>
  <c r="CN150" i="8"/>
  <c r="CN310" i="8"/>
  <c r="CN105" i="8"/>
  <c r="CN275" i="8"/>
  <c r="CN138" i="8"/>
  <c r="CN104" i="8"/>
  <c r="CN360" i="8"/>
  <c r="CN32" i="8"/>
  <c r="CN213" i="8"/>
  <c r="CN77" i="8"/>
  <c r="CN185" i="8"/>
  <c r="CN5" i="8"/>
  <c r="CN156" i="8"/>
  <c r="CN364" i="8"/>
  <c r="CN130" i="8"/>
  <c r="CN82" i="8"/>
  <c r="CN167" i="8"/>
  <c r="CN7" i="8"/>
  <c r="CN291" i="8"/>
  <c r="CN47" i="8"/>
  <c r="CN123" i="8"/>
  <c r="CN172" i="8"/>
  <c r="CN276" i="8"/>
  <c r="CN211" i="8"/>
  <c r="CN255" i="8"/>
  <c r="CN124" i="8"/>
  <c r="CN56" i="8"/>
  <c r="CN93" i="8"/>
  <c r="CN106" i="8"/>
  <c r="CN21" i="8"/>
  <c r="CN227" i="8"/>
  <c r="CN188" i="8"/>
  <c r="CN25" i="8"/>
  <c r="CN198" i="8"/>
  <c r="CN45" i="8"/>
  <c r="CN366" i="8"/>
  <c r="CN305" i="8"/>
  <c r="CN270" i="8"/>
  <c r="CN301" i="8"/>
  <c r="CN201" i="8"/>
  <c r="CN347" i="8"/>
  <c r="CN321" i="8"/>
  <c r="CN355" i="8"/>
  <c r="CN280" i="8"/>
  <c r="CN204" i="8"/>
  <c r="CN29" i="8"/>
  <c r="CN271" i="8"/>
  <c r="CN153" i="8"/>
  <c r="CN155" i="8"/>
  <c r="CN205" i="8"/>
  <c r="CN334" i="8"/>
  <c r="CN329" i="8"/>
  <c r="CN50" i="8"/>
  <c r="CN35" i="8"/>
  <c r="CN30" i="8"/>
  <c r="CN196" i="8"/>
  <c r="CN142" i="8"/>
  <c r="CN258" i="8"/>
  <c r="CN268" i="8"/>
  <c r="CN340" i="8"/>
  <c r="CN289" i="8"/>
  <c r="CN90" i="8"/>
  <c r="CN19" i="8"/>
  <c r="CN128" i="8"/>
  <c r="CN284" i="8"/>
  <c r="CN85" i="8"/>
  <c r="CN278" i="8"/>
  <c r="CN359" i="8"/>
  <c r="CN298" i="8"/>
  <c r="CN135" i="8"/>
  <c r="CN262" i="8"/>
  <c r="CN179" i="8"/>
  <c r="CN209" i="8"/>
  <c r="CN160" i="8"/>
  <c r="CN199" i="8"/>
  <c r="CN363" i="8"/>
  <c r="CN328" i="8"/>
  <c r="CN297" i="8"/>
  <c r="CN97" i="8"/>
  <c r="CN339" i="8"/>
  <c r="CN302" i="8"/>
  <c r="CN168" i="8"/>
  <c r="CN235" i="8"/>
  <c r="CN152" i="8"/>
  <c r="CN125" i="8"/>
  <c r="CN260" i="8"/>
  <c r="CN158" i="8"/>
  <c r="CN174" i="8"/>
  <c r="CN332" i="8"/>
  <c r="CN350" i="8"/>
  <c r="CN294" i="8"/>
  <c r="CN58" i="8"/>
  <c r="CN28" i="8"/>
  <c r="CN362" i="8"/>
  <c r="CN57" i="8"/>
  <c r="CN318" i="8"/>
  <c r="CN68" i="8"/>
  <c r="CN75" i="8"/>
  <c r="CN41" i="8"/>
  <c r="CN11" i="8"/>
  <c r="CN100" i="8"/>
  <c r="CN31" i="8"/>
  <c r="CN24" i="8"/>
  <c r="CN317" i="8"/>
  <c r="CN240" i="8"/>
  <c r="CN234" i="8"/>
  <c r="CN313" i="8"/>
  <c r="CN325" i="8"/>
  <c r="CN236" i="8"/>
  <c r="CN110" i="8"/>
  <c r="CN134" i="8"/>
  <c r="CN133" i="8"/>
  <c r="CN249" i="8"/>
  <c r="CN99" i="8"/>
  <c r="CN336" i="8"/>
  <c r="CN86" i="8"/>
  <c r="CN303" i="8"/>
  <c r="CN80" i="8"/>
  <c r="CN311" i="8"/>
  <c r="CN181" i="8"/>
  <c r="CN78" i="8"/>
  <c r="CN344" i="8"/>
  <c r="CN272" i="8"/>
  <c r="CN63" i="8"/>
  <c r="CN186" i="8"/>
  <c r="CN256" i="8"/>
  <c r="CN53" i="8"/>
  <c r="CN180" i="8"/>
  <c r="CN166" i="8"/>
  <c r="CN273" i="8"/>
  <c r="CN316" i="8"/>
  <c r="CN145" i="8"/>
  <c r="CN200" i="8"/>
  <c r="CN33" i="8"/>
  <c r="CN322" i="8"/>
  <c r="CN170" i="8"/>
  <c r="CN84" i="8"/>
  <c r="CN220" i="8"/>
  <c r="CN286" i="8"/>
  <c r="CN247" i="8"/>
  <c r="CN254" i="8"/>
  <c r="CN15" i="8"/>
  <c r="CN182" i="8"/>
  <c r="CN42" i="8"/>
  <c r="CN113" i="8"/>
  <c r="CN327" i="8"/>
  <c r="CN178" i="8"/>
  <c r="CN114" i="8"/>
  <c r="CN295" i="8"/>
  <c r="CN94" i="8"/>
  <c r="CN221" i="8"/>
  <c r="CN140" i="8"/>
  <c r="CN319" i="8"/>
  <c r="CN76" i="8"/>
  <c r="CN282" i="8"/>
  <c r="CN299" i="8"/>
  <c r="CN285" i="8"/>
  <c r="CN151" i="8"/>
  <c r="CN144" i="8"/>
  <c r="CN203" i="8"/>
  <c r="CN81" i="8"/>
  <c r="CN296" i="8"/>
  <c r="CN365" i="8"/>
  <c r="CN103" i="8"/>
  <c r="CN223" i="8"/>
  <c r="CN34" i="8"/>
  <c r="CN269" i="8"/>
  <c r="CN141" i="8"/>
  <c r="CN281" i="8"/>
  <c r="CN89" i="8"/>
  <c r="CN333" i="8"/>
  <c r="CN27" i="8"/>
  <c r="CN62" i="8"/>
  <c r="CN202" i="8"/>
  <c r="CN288" i="8"/>
  <c r="CN55" i="8"/>
  <c r="CN229" i="8"/>
  <c r="CN300" i="8"/>
  <c r="CN101" i="8"/>
  <c r="CN259" i="8"/>
  <c r="CN226" i="8"/>
  <c r="CN353" i="8"/>
  <c r="CN108" i="8"/>
  <c r="CN266" i="8"/>
  <c r="CN246" i="8"/>
  <c r="CN165" i="8"/>
  <c r="CN335" i="8"/>
  <c r="CN343" i="8"/>
  <c r="CN6" i="8"/>
  <c r="CN22" i="8"/>
  <c r="CN12" i="8"/>
  <c r="CN79" i="8"/>
  <c r="CN87" i="8"/>
  <c r="CN72" i="8"/>
  <c r="CN224" i="8"/>
  <c r="CN218" i="8"/>
  <c r="CN36" i="8"/>
  <c r="CN238" i="8"/>
  <c r="CN212" i="8"/>
  <c r="CN175" i="8"/>
  <c r="CN66" i="8"/>
  <c r="CN337" i="8"/>
  <c r="CN69" i="8"/>
  <c r="CN98" i="8"/>
  <c r="CN222" i="8"/>
  <c r="CN341" i="8"/>
  <c r="CN231" i="8"/>
  <c r="CN9" i="8"/>
  <c r="CN117" i="8"/>
  <c r="CN192" i="8"/>
  <c r="CN102" i="8"/>
  <c r="CN187" i="8"/>
  <c r="CN64" i="8"/>
  <c r="CN88" i="8"/>
  <c r="CN274" i="8"/>
  <c r="CN219" i="8"/>
  <c r="CN131" i="8"/>
  <c r="CN257" i="8"/>
  <c r="CN43" i="8"/>
  <c r="CN263" i="8"/>
  <c r="CN314" i="8"/>
  <c r="CN191" i="8"/>
  <c r="CN149" i="8"/>
  <c r="CN70" i="8"/>
  <c r="CN253" i="8"/>
  <c r="CN95" i="8"/>
  <c r="CN14" i="8"/>
  <c r="CN261" i="8"/>
  <c r="CN215" i="8"/>
  <c r="CN129" i="8"/>
  <c r="CN148" i="8"/>
  <c r="CN163" i="8"/>
  <c r="CN315" i="8"/>
  <c r="CN293" i="8"/>
  <c r="CN119" i="8"/>
  <c r="CN169" i="8"/>
  <c r="CN49" i="8"/>
  <c r="CN232" i="8"/>
  <c r="CN349" i="8"/>
  <c r="CN146" i="8"/>
  <c r="CN342" i="8"/>
  <c r="CN309" i="8"/>
  <c r="CN248" i="8"/>
  <c r="CN60" i="8"/>
  <c r="CN147" i="8"/>
  <c r="CN132" i="8"/>
  <c r="CN8" i="8"/>
  <c r="CN197" i="8"/>
  <c r="CN307" i="8"/>
  <c r="CN157" i="8"/>
  <c r="CN136" i="8"/>
  <c r="CN73" i="8"/>
  <c r="CN159" i="8"/>
  <c r="CN241" i="8"/>
  <c r="CN216" i="8"/>
  <c r="CN304" i="8"/>
  <c r="CN112" i="8"/>
  <c r="CN251" i="8"/>
  <c r="CN230" i="8"/>
  <c r="CN267" i="8"/>
  <c r="CN292" i="8"/>
  <c r="CN39" i="8"/>
  <c r="CN143" i="8"/>
  <c r="CN83" i="8"/>
  <c r="CN326" i="8"/>
  <c r="CN127" i="8"/>
  <c r="CN352" i="8"/>
  <c r="CN161" i="8"/>
  <c r="CN48" i="8"/>
  <c r="CN51" i="8"/>
  <c r="CN23" i="8"/>
  <c r="CN67" i="8"/>
  <c r="CN126" i="8"/>
  <c r="CN74" i="8"/>
  <c r="CN96" i="8"/>
  <c r="CN65" i="8"/>
  <c r="CN331" i="8"/>
  <c r="CN250" i="8"/>
  <c r="CN277" i="8"/>
  <c r="CN346" i="8"/>
  <c r="CN61" i="8"/>
  <c r="CN176" i="8"/>
  <c r="CN210" i="8"/>
  <c r="CN171" i="8"/>
  <c r="CN13" i="8"/>
  <c r="CN164" i="8"/>
  <c r="CN287" i="8"/>
  <c r="CN120" i="8"/>
  <c r="CN245" i="8"/>
  <c r="CM5" i="8"/>
  <c r="DS5" i="8" s="1"/>
  <c r="CL5" i="8"/>
  <c r="CK5" i="8"/>
  <c r="CJ5" i="8"/>
  <c r="CN239" i="8"/>
  <c r="CN139" i="8"/>
  <c r="CN244" i="8"/>
  <c r="CN225" i="8"/>
  <c r="CN115" i="8"/>
  <c r="CN59" i="8"/>
  <c r="CN177" i="8"/>
  <c r="CN26" i="8"/>
  <c r="CN118" i="8"/>
  <c r="CN111" i="8"/>
  <c r="CN361" i="8"/>
  <c r="CN324" i="8"/>
  <c r="CN345" i="8"/>
  <c r="CN193" i="8"/>
  <c r="CN194" i="8"/>
  <c r="CN358" i="8"/>
  <c r="CN17" i="8"/>
  <c r="CN217" i="8"/>
  <c r="BO24" i="8"/>
  <c r="BM24" i="8"/>
  <c r="BK25" i="8" s="1"/>
  <c r="BN22" i="8"/>
  <c r="BL23" i="8" s="1"/>
  <c r="BP22" i="8"/>
  <c r="BX23" i="8"/>
  <c r="BY23" i="8" s="1"/>
  <c r="CM6" i="8" l="1"/>
  <c r="CJ6" i="8"/>
  <c r="DJ5" i="8"/>
  <c r="CP5" i="8"/>
  <c r="DV5" i="8" s="1"/>
  <c r="DP5" i="8"/>
  <c r="CL6" i="8"/>
  <c r="DS6" i="8"/>
  <c r="CM7" i="8"/>
  <c r="DM5" i="8"/>
  <c r="CK6" i="8"/>
  <c r="BM25" i="8"/>
  <c r="BK26" i="8" s="1"/>
  <c r="BO25" i="8"/>
  <c r="BN23" i="8"/>
  <c r="BL24" i="8" s="1"/>
  <c r="BX24" i="8"/>
  <c r="BY24" i="8" s="1"/>
  <c r="BP23" i="8"/>
  <c r="DM6" i="8" l="1"/>
  <c r="CK7" i="8"/>
  <c r="DS7" i="8"/>
  <c r="CM8" i="8"/>
  <c r="DP6" i="8"/>
  <c r="CL7" i="8"/>
  <c r="CJ7" i="8"/>
  <c r="CP6" i="8"/>
  <c r="DV6" i="8" s="1"/>
  <c r="DJ6" i="8"/>
  <c r="BN24" i="8"/>
  <c r="BL25" i="8" s="1"/>
  <c r="BX25" i="8" s="1"/>
  <c r="BY25" i="8" s="1"/>
  <c r="BP24" i="8"/>
  <c r="BO26" i="8"/>
  <c r="BM26" i="8"/>
  <c r="BK27" i="8" s="1"/>
  <c r="DP7" i="8" l="1"/>
  <c r="CL8" i="8"/>
  <c r="CM9" i="8"/>
  <c r="DS8" i="8"/>
  <c r="CP7" i="8"/>
  <c r="DV7" i="8" s="1"/>
  <c r="DM7" i="8"/>
  <c r="CK8" i="8"/>
  <c r="DJ7" i="8"/>
  <c r="CJ8" i="8"/>
  <c r="BM27" i="8"/>
  <c r="BO27" i="8"/>
  <c r="BP25" i="8"/>
  <c r="BN25" i="8"/>
  <c r="BL26" i="8" s="1"/>
  <c r="BX26" i="8" s="1"/>
  <c r="BY26" i="8" s="1"/>
  <c r="CL9" i="8" l="1"/>
  <c r="DP8" i="8"/>
  <c r="DJ8" i="8"/>
  <c r="CJ9" i="8"/>
  <c r="CP8" i="8"/>
  <c r="DV8" i="8" s="1"/>
  <c r="CK9" i="8"/>
  <c r="DM8" i="8"/>
  <c r="DS9" i="8"/>
  <c r="CM10" i="8"/>
  <c r="BN26" i="8"/>
  <c r="BL27" i="8" s="1"/>
  <c r="BX27" i="8"/>
  <c r="BY27" i="8" s="1"/>
  <c r="BP26" i="8"/>
  <c r="DM9" i="8" l="1"/>
  <c r="CK10" i="8"/>
  <c r="CJ10" i="8"/>
  <c r="DJ9" i="8"/>
  <c r="CP9" i="8"/>
  <c r="DV9" i="8" s="1"/>
  <c r="CM11" i="8"/>
  <c r="DS10" i="8"/>
  <c r="DP9" i="8"/>
  <c r="CL10" i="8"/>
  <c r="BN27" i="8"/>
  <c r="BP27" i="8"/>
  <c r="DS11" i="8" l="1"/>
  <c r="CM12" i="8"/>
  <c r="CK11" i="8"/>
  <c r="DM10" i="8"/>
  <c r="CL11" i="8"/>
  <c r="DP10" i="8"/>
  <c r="CJ11" i="8"/>
  <c r="DJ10" i="8"/>
  <c r="CP10" i="8"/>
  <c r="DV10" i="8" s="1"/>
  <c r="CM13" i="8" l="1"/>
  <c r="DS12" i="8"/>
  <c r="DJ11" i="8"/>
  <c r="CJ12" i="8"/>
  <c r="CP11" i="8"/>
  <c r="DV11" i="8" s="1"/>
  <c r="DP11" i="8"/>
  <c r="CL12" i="8"/>
  <c r="DM11" i="8"/>
  <c r="CK12" i="8"/>
  <c r="CJ13" i="8" l="1"/>
  <c r="DJ12" i="8"/>
  <c r="CP12" i="8"/>
  <c r="DV12" i="8" s="1"/>
  <c r="CK13" i="8"/>
  <c r="DM12" i="8"/>
  <c r="CL13" i="8"/>
  <c r="DP12" i="8"/>
  <c r="DS13" i="8"/>
  <c r="CM14" i="8"/>
  <c r="DP13" i="8" l="1"/>
  <c r="CL14" i="8"/>
  <c r="DM13" i="8"/>
  <c r="CK14" i="8"/>
  <c r="DS14" i="8"/>
  <c r="CM15" i="8"/>
  <c r="DJ13" i="8"/>
  <c r="CJ14" i="8"/>
  <c r="CP13" i="8"/>
  <c r="DV13" i="8" s="1"/>
  <c r="DS15" i="8" l="1"/>
  <c r="CM16" i="8"/>
  <c r="CL15" i="8"/>
  <c r="DP14" i="8"/>
  <c r="CJ15" i="8"/>
  <c r="DJ14" i="8"/>
  <c r="CP14" i="8"/>
  <c r="DV14" i="8" s="1"/>
  <c r="CK15" i="8"/>
  <c r="DM14" i="8"/>
  <c r="DM15" i="8" l="1"/>
  <c r="CK16" i="8"/>
  <c r="CM17" i="8"/>
  <c r="DS16" i="8"/>
  <c r="DJ15" i="8"/>
  <c r="CJ16" i="8"/>
  <c r="CP15" i="8"/>
  <c r="DV15" i="8" s="1"/>
  <c r="CL16" i="8"/>
  <c r="DP15" i="8"/>
  <c r="CL17" i="8" l="1"/>
  <c r="DP16" i="8"/>
  <c r="DJ16" i="8"/>
  <c r="CJ17" i="8"/>
  <c r="CP16" i="8"/>
  <c r="DV16" i="8" s="1"/>
  <c r="CK17" i="8"/>
  <c r="DM16" i="8"/>
  <c r="CM18" i="8"/>
  <c r="DS17" i="8"/>
  <c r="DS18" i="8" l="1"/>
  <c r="CM19" i="8"/>
  <c r="DM17" i="8"/>
  <c r="CK18" i="8"/>
  <c r="DJ17" i="8"/>
  <c r="CJ18" i="8"/>
  <c r="CP17" i="8"/>
  <c r="DV17" i="8" s="1"/>
  <c r="CL18" i="8"/>
  <c r="DP17" i="8"/>
  <c r="DP18" i="8" l="1"/>
  <c r="CL19" i="8"/>
  <c r="CP18" i="8"/>
  <c r="DV18" i="8" s="1"/>
  <c r="CJ19" i="8"/>
  <c r="DJ18" i="8"/>
  <c r="DM18" i="8"/>
  <c r="CK19" i="8"/>
  <c r="DS19" i="8"/>
  <c r="CM20" i="8"/>
  <c r="CJ20" i="8" l="1"/>
  <c r="DJ19" i="8"/>
  <c r="CP19" i="8"/>
  <c r="DV19" i="8" s="1"/>
  <c r="DP19" i="8"/>
  <c r="CL20" i="8"/>
  <c r="DS20" i="8"/>
  <c r="CM21" i="8"/>
  <c r="DM19" i="8"/>
  <c r="CK20" i="8"/>
  <c r="CP20" i="8" l="1"/>
  <c r="DV20" i="8" s="1"/>
  <c r="DM20" i="8"/>
  <c r="CK21" i="8"/>
  <c r="CM22" i="8"/>
  <c r="DS21" i="8"/>
  <c r="DP20" i="8"/>
  <c r="CL21" i="8"/>
  <c r="CJ21" i="8"/>
  <c r="DJ20" i="8"/>
  <c r="CJ22" i="8" l="1"/>
  <c r="DJ21" i="8"/>
  <c r="CP21" i="8"/>
  <c r="DV21" i="8" s="1"/>
  <c r="CM23" i="8"/>
  <c r="DS22" i="8"/>
  <c r="CL22" i="8"/>
  <c r="DP21" i="8"/>
  <c r="CK22" i="8"/>
  <c r="DM21" i="8"/>
  <c r="CK23" i="8" l="1"/>
  <c r="DM22" i="8"/>
  <c r="CL23" i="8"/>
  <c r="DP22" i="8"/>
  <c r="DS23" i="8"/>
  <c r="CM24" i="8"/>
  <c r="DJ22" i="8"/>
  <c r="CJ23" i="8"/>
  <c r="CP22" i="8"/>
  <c r="DV22" i="8" s="1"/>
  <c r="DJ23" i="8" l="1"/>
  <c r="CJ24" i="8"/>
  <c r="CP23" i="8"/>
  <c r="DV23" i="8" s="1"/>
  <c r="CM25" i="8"/>
  <c r="DS24" i="8"/>
  <c r="DP23" i="8"/>
  <c r="CL24" i="8"/>
  <c r="DM23" i="8"/>
  <c r="CK24" i="8"/>
  <c r="DS25" i="8" l="1"/>
  <c r="CM26" i="8"/>
  <c r="CJ25" i="8"/>
  <c r="DJ24" i="8"/>
  <c r="CP24" i="8"/>
  <c r="DV24" i="8" s="1"/>
  <c r="CK25" i="8"/>
  <c r="DM24" i="8"/>
  <c r="CL25" i="8"/>
  <c r="DP24" i="8"/>
  <c r="DP25" i="8" l="1"/>
  <c r="CL26" i="8"/>
  <c r="DM25" i="8"/>
  <c r="CK26" i="8"/>
  <c r="DS26" i="8"/>
  <c r="CM27" i="8"/>
  <c r="DJ25" i="8"/>
  <c r="CJ26" i="8"/>
  <c r="CP25" i="8"/>
  <c r="DV25" i="8" s="1"/>
  <c r="DJ26" i="8" l="1"/>
  <c r="CJ27" i="8"/>
  <c r="DS27" i="8"/>
  <c r="CM28" i="8"/>
  <c r="DM26" i="8"/>
  <c r="CK27" i="8"/>
  <c r="CP26" i="8"/>
  <c r="DV26" i="8" s="1"/>
  <c r="DP26" i="8"/>
  <c r="CL27" i="8"/>
  <c r="CP27" i="8" l="1"/>
  <c r="DV27" i="8" s="1"/>
  <c r="DM27" i="8"/>
  <c r="CK28" i="8"/>
  <c r="CM29" i="8"/>
  <c r="DS28" i="8"/>
  <c r="DJ27" i="8"/>
  <c r="CJ28" i="8"/>
  <c r="DP27" i="8"/>
  <c r="CL28" i="8"/>
  <c r="CM30" i="8" l="1"/>
  <c r="DS29" i="8"/>
  <c r="CL29" i="8"/>
  <c r="DP28" i="8"/>
  <c r="DJ28" i="8"/>
  <c r="CJ29" i="8"/>
  <c r="CP28" i="8"/>
  <c r="DV28" i="8" s="1"/>
  <c r="CK29" i="8"/>
  <c r="DM28" i="8"/>
  <c r="CK30" i="8" l="1"/>
  <c r="DM29" i="8"/>
  <c r="DJ29" i="8"/>
  <c r="CJ30" i="8"/>
  <c r="CP29" i="8"/>
  <c r="DV29" i="8" s="1"/>
  <c r="CL30" i="8"/>
  <c r="DP29" i="8"/>
  <c r="CM31" i="8"/>
  <c r="DS30" i="8"/>
  <c r="CM32" i="8" l="1"/>
  <c r="DS31" i="8"/>
  <c r="DP30" i="8"/>
  <c r="CL31" i="8"/>
  <c r="DJ30" i="8"/>
  <c r="CJ31" i="8"/>
  <c r="CP30" i="8"/>
  <c r="DV30" i="8" s="1"/>
  <c r="CK31" i="8"/>
  <c r="DM30" i="8"/>
  <c r="CK32" i="8" l="1"/>
  <c r="DM31" i="8"/>
  <c r="DJ31" i="8"/>
  <c r="CJ32" i="8"/>
  <c r="CP31" i="8"/>
  <c r="DV31" i="8" s="1"/>
  <c r="CL32" i="8"/>
  <c r="DP31" i="8"/>
  <c r="CM33" i="8"/>
  <c r="DS32" i="8"/>
  <c r="DS33" i="8" l="1"/>
  <c r="CM34" i="8"/>
  <c r="CL33" i="8"/>
  <c r="DP32" i="8"/>
  <c r="CJ33" i="8"/>
  <c r="DJ32" i="8"/>
  <c r="CP32" i="8"/>
  <c r="DV32" i="8" s="1"/>
  <c r="CK33" i="8"/>
  <c r="DM32" i="8"/>
  <c r="DM33" i="8" l="1"/>
  <c r="CK34" i="8"/>
  <c r="CM35" i="8"/>
  <c r="DS34" i="8"/>
  <c r="CJ34" i="8"/>
  <c r="DJ33" i="8"/>
  <c r="CP33" i="8"/>
  <c r="DV33" i="8" s="1"/>
  <c r="CL34" i="8"/>
  <c r="DP33" i="8"/>
  <c r="DP34" i="8" l="1"/>
  <c r="CL35" i="8"/>
  <c r="CK35" i="8"/>
  <c r="DM34" i="8"/>
  <c r="CJ35" i="8"/>
  <c r="DJ34" i="8"/>
  <c r="CP34" i="8"/>
  <c r="DV34" i="8" s="1"/>
  <c r="DS35" i="8"/>
  <c r="CM36" i="8"/>
  <c r="DP35" i="8" l="1"/>
  <c r="CL36" i="8"/>
  <c r="DS36" i="8"/>
  <c r="CM37" i="8"/>
  <c r="CJ36" i="8"/>
  <c r="DJ35" i="8"/>
  <c r="CP35" i="8"/>
  <c r="DV35" i="8" s="1"/>
  <c r="DM35" i="8"/>
  <c r="CK36" i="8"/>
  <c r="CM38" i="8" l="1"/>
  <c r="DS37" i="8"/>
  <c r="DP36" i="8"/>
  <c r="CL37" i="8"/>
  <c r="CP36" i="8"/>
  <c r="DV36" i="8" s="1"/>
  <c r="DM36" i="8"/>
  <c r="CK37" i="8"/>
  <c r="CJ37" i="8"/>
  <c r="DJ36" i="8"/>
  <c r="CJ38" i="8" l="1"/>
  <c r="DJ37" i="8"/>
  <c r="CP37" i="8"/>
  <c r="DV37" i="8" s="1"/>
  <c r="CL38" i="8"/>
  <c r="DP37" i="8"/>
  <c r="CK38" i="8"/>
  <c r="DM37" i="8"/>
  <c r="DS38" i="8"/>
  <c r="CM39" i="8"/>
  <c r="DM38" i="8" l="1"/>
  <c r="CK39" i="8"/>
  <c r="DP38" i="8"/>
  <c r="CL39" i="8"/>
  <c r="CM40" i="8"/>
  <c r="DS39" i="8"/>
  <c r="CJ39" i="8"/>
  <c r="DJ38" i="8"/>
  <c r="CP38" i="8"/>
  <c r="DV38" i="8" s="1"/>
  <c r="CL40" i="8" l="1"/>
  <c r="DP39" i="8"/>
  <c r="DM39" i="8"/>
  <c r="CK40" i="8"/>
  <c r="CJ40" i="8"/>
  <c r="DJ39" i="8"/>
  <c r="CP39" i="8"/>
  <c r="DV39" i="8" s="1"/>
  <c r="CM41" i="8"/>
  <c r="DS40" i="8"/>
  <c r="DS41" i="8" l="1"/>
  <c r="CM42" i="8"/>
  <c r="DM40" i="8"/>
  <c r="CK41" i="8"/>
  <c r="CJ41" i="8"/>
  <c r="DJ40" i="8"/>
  <c r="CP40" i="8"/>
  <c r="DV40" i="8" s="1"/>
  <c r="DP40" i="8"/>
  <c r="CL41" i="8"/>
  <c r="CK42" i="8" l="1"/>
  <c r="DM41" i="8"/>
  <c r="CM43" i="8"/>
  <c r="DS42" i="8"/>
  <c r="CL42" i="8"/>
  <c r="DP41" i="8"/>
  <c r="CJ42" i="8"/>
  <c r="DJ41" i="8"/>
  <c r="CP41" i="8"/>
  <c r="DV41" i="8" s="1"/>
  <c r="CJ43" i="8" l="1"/>
  <c r="DJ42" i="8"/>
  <c r="CP42" i="8"/>
  <c r="DV42" i="8" s="1"/>
  <c r="CL43" i="8"/>
  <c r="DP42" i="8"/>
  <c r="CM44" i="8"/>
  <c r="DS43" i="8"/>
  <c r="CK43" i="8"/>
  <c r="DM42" i="8"/>
  <c r="DM43" i="8" l="1"/>
  <c r="CK44" i="8"/>
  <c r="DS44" i="8"/>
  <c r="CM45" i="8"/>
  <c r="DP43" i="8"/>
  <c r="CL44" i="8"/>
  <c r="CJ44" i="8"/>
  <c r="DJ43" i="8"/>
  <c r="CP43" i="8"/>
  <c r="DV43" i="8" s="1"/>
  <c r="CL45" i="8" l="1"/>
  <c r="DP44" i="8"/>
  <c r="CM46" i="8"/>
  <c r="DS45" i="8"/>
  <c r="CK45" i="8"/>
  <c r="DM44" i="8"/>
  <c r="CJ45" i="8"/>
  <c r="DJ44" i="8"/>
  <c r="CP44" i="8"/>
  <c r="DV44" i="8" s="1"/>
  <c r="DJ45" i="8" l="1"/>
  <c r="CJ46" i="8"/>
  <c r="CP45" i="8"/>
  <c r="DV45" i="8" s="1"/>
  <c r="CK46" i="8"/>
  <c r="DM45" i="8"/>
  <c r="CM47" i="8"/>
  <c r="DS46" i="8"/>
  <c r="CL46" i="8"/>
  <c r="DP45" i="8"/>
  <c r="CL47" i="8" l="1"/>
  <c r="DP46" i="8"/>
  <c r="DS47" i="8"/>
  <c r="CM48" i="8"/>
  <c r="CK47" i="8"/>
  <c r="DM46" i="8"/>
  <c r="CJ47" i="8"/>
  <c r="DJ46" i="8"/>
  <c r="CP46" i="8"/>
  <c r="DV46" i="8" s="1"/>
  <c r="CM49" i="8" l="1"/>
  <c r="DS48" i="8"/>
  <c r="DJ47" i="8"/>
  <c r="CJ48" i="8"/>
  <c r="CP47" i="8"/>
  <c r="DV47" i="8" s="1"/>
  <c r="DM47" i="8"/>
  <c r="CK48" i="8"/>
  <c r="DP47" i="8"/>
  <c r="CL48" i="8"/>
  <c r="DJ48" i="8" l="1"/>
  <c r="CJ49" i="8"/>
  <c r="CP48" i="8"/>
  <c r="DV48" i="8" s="1"/>
  <c r="CL49" i="8"/>
  <c r="DP48" i="8"/>
  <c r="CK49" i="8"/>
  <c r="DM48" i="8"/>
  <c r="CM50" i="8"/>
  <c r="DS49" i="8"/>
  <c r="CM51" i="8" l="1"/>
  <c r="DS50" i="8"/>
  <c r="CK50" i="8"/>
  <c r="DM49" i="8"/>
  <c r="CL50" i="8"/>
  <c r="DP49" i="8"/>
  <c r="CJ50" i="8"/>
  <c r="DJ49" i="8"/>
  <c r="CP49" i="8"/>
  <c r="DV49" i="8" s="1"/>
  <c r="DJ50" i="8" l="1"/>
  <c r="CJ51" i="8"/>
  <c r="CP50" i="8"/>
  <c r="DV50" i="8" s="1"/>
  <c r="CL51" i="8"/>
  <c r="DP50" i="8"/>
  <c r="CK51" i="8"/>
  <c r="DM50" i="8"/>
  <c r="CM52" i="8"/>
  <c r="DS51" i="8"/>
  <c r="CM53" i="8" l="1"/>
  <c r="DS52" i="8"/>
  <c r="CK52" i="8"/>
  <c r="DM51" i="8"/>
  <c r="CL52" i="8"/>
  <c r="DP51" i="8"/>
  <c r="DJ51" i="8"/>
  <c r="CJ52" i="8"/>
  <c r="CP51" i="8"/>
  <c r="DV51" i="8" s="1"/>
  <c r="CL53" i="8" l="1"/>
  <c r="DP52" i="8"/>
  <c r="CK53" i="8"/>
  <c r="DM52" i="8"/>
  <c r="DS53" i="8"/>
  <c r="CM54" i="8"/>
  <c r="CJ53" i="8"/>
  <c r="DJ52" i="8"/>
  <c r="CP52" i="8"/>
  <c r="DV52" i="8" s="1"/>
  <c r="CM55" i="8" l="1"/>
  <c r="DS54" i="8"/>
  <c r="DJ53" i="8"/>
  <c r="CJ54" i="8"/>
  <c r="CP53" i="8"/>
  <c r="DV53" i="8" s="1"/>
  <c r="DM53" i="8"/>
  <c r="CK54" i="8"/>
  <c r="DP53" i="8"/>
  <c r="CL54" i="8"/>
  <c r="DJ54" i="8" l="1"/>
  <c r="CJ55" i="8"/>
  <c r="CP54" i="8"/>
  <c r="DV54" i="8" s="1"/>
  <c r="CL55" i="8"/>
  <c r="DP54" i="8"/>
  <c r="DM54" i="8"/>
  <c r="CK55" i="8"/>
  <c r="CM56" i="8"/>
  <c r="DS55" i="8"/>
  <c r="DS56" i="8" l="1"/>
  <c r="CM57" i="8"/>
  <c r="CL56" i="8"/>
  <c r="DP55" i="8"/>
  <c r="CJ56" i="8"/>
  <c r="DJ55" i="8"/>
  <c r="CP55" i="8"/>
  <c r="DV55" i="8" s="1"/>
  <c r="CK56" i="8"/>
  <c r="DM55" i="8"/>
  <c r="CK57" i="8" l="1"/>
  <c r="DM56" i="8"/>
  <c r="CM58" i="8"/>
  <c r="DS57" i="8"/>
  <c r="DJ56" i="8"/>
  <c r="CJ57" i="8"/>
  <c r="CP56" i="8"/>
  <c r="DV56" i="8" s="1"/>
  <c r="DP56" i="8"/>
  <c r="CL57" i="8"/>
  <c r="DJ57" i="8" l="1"/>
  <c r="CJ58" i="8"/>
  <c r="CP57" i="8"/>
  <c r="DV57" i="8" s="1"/>
  <c r="CL58" i="8"/>
  <c r="DP57" i="8"/>
  <c r="DS58" i="8"/>
  <c r="CM59" i="8"/>
  <c r="CK58" i="8"/>
  <c r="DM57" i="8"/>
  <c r="CK59" i="8" l="1"/>
  <c r="DM58" i="8"/>
  <c r="DP58" i="8"/>
  <c r="CL59" i="8"/>
  <c r="DJ58" i="8"/>
  <c r="CJ59" i="8"/>
  <c r="CP58" i="8"/>
  <c r="DV58" i="8" s="1"/>
  <c r="CM60" i="8"/>
  <c r="DS59" i="8"/>
  <c r="CM61" i="8" l="1"/>
  <c r="DS60" i="8"/>
  <c r="DJ59" i="8"/>
  <c r="CJ60" i="8"/>
  <c r="CP59" i="8"/>
  <c r="DV59" i="8" s="1"/>
  <c r="CL60" i="8"/>
  <c r="DP59" i="8"/>
  <c r="CK60" i="8"/>
  <c r="DM59" i="8"/>
  <c r="CK61" i="8" l="1"/>
  <c r="DM60" i="8"/>
  <c r="CL61" i="8"/>
  <c r="DP60" i="8"/>
  <c r="CJ61" i="8"/>
  <c r="DJ60" i="8"/>
  <c r="CP60" i="8"/>
  <c r="DV60" i="8" s="1"/>
  <c r="DS61" i="8"/>
  <c r="CM62" i="8"/>
  <c r="DS62" i="8" l="1"/>
  <c r="CM63" i="8"/>
  <c r="DJ61" i="8"/>
  <c r="CJ62" i="8"/>
  <c r="CP61" i="8"/>
  <c r="DV61" i="8" s="1"/>
  <c r="DP61" i="8"/>
  <c r="CL62" i="8"/>
  <c r="DM61" i="8"/>
  <c r="CK62" i="8"/>
  <c r="CJ63" i="8" l="1"/>
  <c r="DJ62" i="8"/>
  <c r="CP62" i="8"/>
  <c r="DV62" i="8" s="1"/>
  <c r="CM64" i="8"/>
  <c r="DS63" i="8"/>
  <c r="CK63" i="8"/>
  <c r="DM62" i="8"/>
  <c r="CL63" i="8"/>
  <c r="DP62" i="8"/>
  <c r="CL64" i="8" l="1"/>
  <c r="DP63" i="8"/>
  <c r="CK64" i="8"/>
  <c r="DM63" i="8"/>
  <c r="DS64" i="8"/>
  <c r="CM65" i="8"/>
  <c r="DJ63" i="8"/>
  <c r="CJ64" i="8"/>
  <c r="CP63" i="8"/>
  <c r="DV63" i="8" s="1"/>
  <c r="CP64" i="8" l="1"/>
  <c r="DV64" i="8" s="1"/>
  <c r="CM66" i="8"/>
  <c r="DS65" i="8"/>
  <c r="DM64" i="8"/>
  <c r="CK65" i="8"/>
  <c r="CJ65" i="8"/>
  <c r="DJ64" i="8"/>
  <c r="DP64" i="8"/>
  <c r="CL65" i="8"/>
  <c r="DP65" i="8" l="1"/>
  <c r="CL66" i="8"/>
  <c r="DM65" i="8"/>
  <c r="CK66" i="8"/>
  <c r="DJ65" i="8"/>
  <c r="CJ66" i="8"/>
  <c r="CP65" i="8"/>
  <c r="DV65" i="8" s="1"/>
  <c r="DS66" i="8"/>
  <c r="CM67" i="8"/>
  <c r="DJ66" i="8" l="1"/>
  <c r="CJ67" i="8"/>
  <c r="CP66" i="8"/>
  <c r="DV66" i="8" s="1"/>
  <c r="DM66" i="8"/>
  <c r="CK67" i="8"/>
  <c r="CL67" i="8"/>
  <c r="DP66" i="8"/>
  <c r="CM68" i="8"/>
  <c r="DS67" i="8"/>
  <c r="DS68" i="8" l="1"/>
  <c r="CM69" i="8"/>
  <c r="CL68" i="8"/>
  <c r="DP67" i="8"/>
  <c r="DJ67" i="8"/>
  <c r="CJ68" i="8"/>
  <c r="CP67" i="8"/>
  <c r="DV67" i="8" s="1"/>
  <c r="DM67" i="8"/>
  <c r="CK68" i="8"/>
  <c r="CJ69" i="8" l="1"/>
  <c r="DJ68" i="8"/>
  <c r="CP68" i="8"/>
  <c r="DV68" i="8" s="1"/>
  <c r="DS69" i="8"/>
  <c r="CM70" i="8"/>
  <c r="CK69" i="8"/>
  <c r="DM68" i="8"/>
  <c r="CL69" i="8"/>
  <c r="DP68" i="8"/>
  <c r="DP69" i="8" l="1"/>
  <c r="CL70" i="8"/>
  <c r="DM69" i="8"/>
  <c r="CK70" i="8"/>
  <c r="CM71" i="8"/>
  <c r="DS70" i="8"/>
  <c r="CJ70" i="8"/>
  <c r="DJ69" i="8"/>
  <c r="CP69" i="8"/>
  <c r="DV69" i="8" s="1"/>
  <c r="DM70" i="8" l="1"/>
  <c r="CK71" i="8"/>
  <c r="DP70" i="8"/>
  <c r="CL71" i="8"/>
  <c r="CJ71" i="8"/>
  <c r="DJ70" i="8"/>
  <c r="CP70" i="8"/>
  <c r="DV70" i="8" s="1"/>
  <c r="CM72" i="8"/>
  <c r="DS71" i="8"/>
  <c r="DS72" i="8" l="1"/>
  <c r="CM73" i="8"/>
  <c r="CL72" i="8"/>
  <c r="DP71" i="8"/>
  <c r="CK72" i="8"/>
  <c r="DM71" i="8"/>
  <c r="CJ72" i="8"/>
  <c r="DJ71" i="8"/>
  <c r="CP71" i="8"/>
  <c r="DV71" i="8" s="1"/>
  <c r="DS73" i="8" l="1"/>
  <c r="CM74" i="8"/>
  <c r="CJ73" i="8"/>
  <c r="DJ72" i="8"/>
  <c r="DM72" i="8"/>
  <c r="CK73" i="8"/>
  <c r="CP72" i="8"/>
  <c r="DV72" i="8" s="1"/>
  <c r="DP72" i="8"/>
  <c r="CL73" i="8"/>
  <c r="DM73" i="8" l="1"/>
  <c r="CK74" i="8"/>
  <c r="CM75" i="8"/>
  <c r="DS74" i="8"/>
  <c r="CL74" i="8"/>
  <c r="DP73" i="8"/>
  <c r="DJ73" i="8"/>
  <c r="CJ74" i="8"/>
  <c r="CP73" i="8"/>
  <c r="DV73" i="8" s="1"/>
  <c r="CL75" i="8" l="1"/>
  <c r="DP74" i="8"/>
  <c r="DS75" i="8"/>
  <c r="CM76" i="8"/>
  <c r="DJ74" i="8"/>
  <c r="CJ75" i="8"/>
  <c r="CP74" i="8"/>
  <c r="DV74" i="8" s="1"/>
  <c r="CK75" i="8"/>
  <c r="DM74" i="8"/>
  <c r="DM75" i="8" l="1"/>
  <c r="CK76" i="8"/>
  <c r="DJ75" i="8"/>
  <c r="CJ76" i="8"/>
  <c r="CP75" i="8"/>
  <c r="DV75" i="8" s="1"/>
  <c r="DS76" i="8"/>
  <c r="CM77" i="8"/>
  <c r="CL76" i="8"/>
  <c r="DP75" i="8"/>
  <c r="DS77" i="8" l="1"/>
  <c r="CM78" i="8"/>
  <c r="CL77" i="8"/>
  <c r="DP76" i="8"/>
  <c r="CJ77" i="8"/>
  <c r="DJ76" i="8"/>
  <c r="CP76" i="8"/>
  <c r="DV76" i="8" s="1"/>
  <c r="DM76" i="8"/>
  <c r="CK77" i="8"/>
  <c r="CM79" i="8" l="1"/>
  <c r="DS78" i="8"/>
  <c r="DM77" i="8"/>
  <c r="CK78" i="8"/>
  <c r="DJ77" i="8"/>
  <c r="CJ78" i="8"/>
  <c r="CP77" i="8"/>
  <c r="DV77" i="8" s="1"/>
  <c r="DP77" i="8"/>
  <c r="CL78" i="8"/>
  <c r="CJ79" i="8" l="1"/>
  <c r="DJ78" i="8"/>
  <c r="CP78" i="8"/>
  <c r="DV78" i="8" s="1"/>
  <c r="CK79" i="8"/>
  <c r="DM78" i="8"/>
  <c r="DP78" i="8"/>
  <c r="CL79" i="8"/>
  <c r="DS79" i="8"/>
  <c r="CM80" i="8"/>
  <c r="DM79" i="8" l="1"/>
  <c r="CK80" i="8"/>
  <c r="CM81" i="8"/>
  <c r="DS80" i="8"/>
  <c r="DP79" i="8"/>
  <c r="CL80" i="8"/>
  <c r="DJ79" i="8"/>
  <c r="CJ80" i="8"/>
  <c r="CP79" i="8"/>
  <c r="DV79" i="8" s="1"/>
  <c r="DJ80" i="8" l="1"/>
  <c r="CJ81" i="8"/>
  <c r="CP80" i="8"/>
  <c r="DV80" i="8" s="1"/>
  <c r="CL81" i="8"/>
  <c r="DP80" i="8"/>
  <c r="CK81" i="8"/>
  <c r="DM80" i="8"/>
  <c r="CM82" i="8"/>
  <c r="DS81" i="8"/>
  <c r="CM83" i="8" l="1"/>
  <c r="DS82" i="8"/>
  <c r="CK82" i="8"/>
  <c r="DM81" i="8"/>
  <c r="CL82" i="8"/>
  <c r="DP81" i="8"/>
  <c r="DJ81" i="8"/>
  <c r="CJ82" i="8"/>
  <c r="CP81" i="8"/>
  <c r="DV81" i="8" s="1"/>
  <c r="CJ83" i="8" l="1"/>
  <c r="DJ82" i="8"/>
  <c r="CP82" i="8"/>
  <c r="DV82" i="8" s="1"/>
  <c r="CL83" i="8"/>
  <c r="DP82" i="8"/>
  <c r="CK83" i="8"/>
  <c r="DM82" i="8"/>
  <c r="DS83" i="8"/>
  <c r="CM84" i="8"/>
  <c r="CL84" i="8" l="1"/>
  <c r="DP83" i="8"/>
  <c r="DM83" i="8"/>
  <c r="CK84" i="8"/>
  <c r="CM85" i="8"/>
  <c r="DS84" i="8"/>
  <c r="CJ84" i="8"/>
  <c r="DJ83" i="8"/>
  <c r="CP83" i="8"/>
  <c r="DV83" i="8" s="1"/>
  <c r="CK85" i="8" l="1"/>
  <c r="DM84" i="8"/>
  <c r="CJ85" i="8"/>
  <c r="DJ84" i="8"/>
  <c r="CP84" i="8"/>
  <c r="DV84" i="8" s="1"/>
  <c r="CM86" i="8"/>
  <c r="DS85" i="8"/>
  <c r="DP84" i="8"/>
  <c r="CL85" i="8"/>
  <c r="DS86" i="8" l="1"/>
  <c r="CM87" i="8"/>
  <c r="CL86" i="8"/>
  <c r="DP85" i="8"/>
  <c r="DJ85" i="8"/>
  <c r="CJ86" i="8"/>
  <c r="CP85" i="8"/>
  <c r="DV85" i="8" s="1"/>
  <c r="CK86" i="8"/>
  <c r="DM85" i="8"/>
  <c r="CK87" i="8" l="1"/>
  <c r="DM86" i="8"/>
  <c r="DJ86" i="8"/>
  <c r="CJ87" i="8"/>
  <c r="CP86" i="8"/>
  <c r="DV86" i="8" s="1"/>
  <c r="DS87" i="8"/>
  <c r="CM88" i="8"/>
  <c r="DP86" i="8"/>
  <c r="CL87" i="8"/>
  <c r="DJ87" i="8" l="1"/>
  <c r="CJ88" i="8"/>
  <c r="CP87" i="8"/>
  <c r="DV87" i="8" s="1"/>
  <c r="DP87" i="8"/>
  <c r="CL88" i="8"/>
  <c r="CM89" i="8"/>
  <c r="DS88" i="8"/>
  <c r="DM87" i="8"/>
  <c r="CK88" i="8"/>
  <c r="CK89" i="8" l="1"/>
  <c r="DM88" i="8"/>
  <c r="CM90" i="8"/>
  <c r="DS89" i="8"/>
  <c r="CJ89" i="8"/>
  <c r="DJ88" i="8"/>
  <c r="CP88" i="8"/>
  <c r="DV88" i="8" s="1"/>
  <c r="CL89" i="8"/>
  <c r="DP88" i="8"/>
  <c r="CJ90" i="8" l="1"/>
  <c r="DJ89" i="8"/>
  <c r="CP89" i="8"/>
  <c r="DV89" i="8" s="1"/>
  <c r="DS90" i="8"/>
  <c r="CM91" i="8"/>
  <c r="DM89" i="8"/>
  <c r="CK90" i="8"/>
  <c r="CL90" i="8"/>
  <c r="DP89" i="8"/>
  <c r="CK91" i="8" l="1"/>
  <c r="DM90" i="8"/>
  <c r="DS91" i="8"/>
  <c r="CM92" i="8"/>
  <c r="CJ91" i="8"/>
  <c r="DJ90" i="8"/>
  <c r="CP90" i="8"/>
  <c r="DV90" i="8" s="1"/>
  <c r="CL91" i="8"/>
  <c r="DP90" i="8"/>
  <c r="DJ91" i="8" l="1"/>
  <c r="CJ92" i="8"/>
  <c r="CP91" i="8"/>
  <c r="DV91" i="8" s="1"/>
  <c r="CK92" i="8"/>
  <c r="DM91" i="8"/>
  <c r="DP91" i="8"/>
  <c r="CL92" i="8"/>
  <c r="DS92" i="8"/>
  <c r="CM93" i="8"/>
  <c r="DM92" i="8" l="1"/>
  <c r="CK93" i="8"/>
  <c r="CJ93" i="8"/>
  <c r="DJ92" i="8"/>
  <c r="CP92" i="8"/>
  <c r="DV92" i="8" s="1"/>
  <c r="DS93" i="8"/>
  <c r="CM94" i="8"/>
  <c r="CL93" i="8"/>
  <c r="DP92" i="8"/>
  <c r="DP93" i="8" l="1"/>
  <c r="CL94" i="8"/>
  <c r="DM93" i="8"/>
  <c r="CK94" i="8"/>
  <c r="DS94" i="8"/>
  <c r="CM95" i="8"/>
  <c r="DJ93" i="8"/>
  <c r="CJ94" i="8"/>
  <c r="CP93" i="8"/>
  <c r="DV93" i="8" s="1"/>
  <c r="DS95" i="8" l="1"/>
  <c r="CM96" i="8"/>
  <c r="DM94" i="8"/>
  <c r="CK95" i="8"/>
  <c r="DP94" i="8"/>
  <c r="CL95" i="8"/>
  <c r="DJ94" i="8"/>
  <c r="CJ95" i="8"/>
  <c r="CP94" i="8"/>
  <c r="DV94" i="8" s="1"/>
  <c r="DJ95" i="8" l="1"/>
  <c r="CJ96" i="8"/>
  <c r="CP95" i="8"/>
  <c r="DV95" i="8" s="1"/>
  <c r="DP95" i="8"/>
  <c r="CL96" i="8"/>
  <c r="DM95" i="8"/>
  <c r="CK96" i="8"/>
  <c r="CM97" i="8"/>
  <c r="DS96" i="8"/>
  <c r="DS97" i="8" l="1"/>
  <c r="CM98" i="8"/>
  <c r="DJ96" i="8"/>
  <c r="CJ97" i="8"/>
  <c r="CP96" i="8"/>
  <c r="DV96" i="8" s="1"/>
  <c r="CK97" i="8"/>
  <c r="DM96" i="8"/>
  <c r="CL97" i="8"/>
  <c r="DP96" i="8"/>
  <c r="CP97" i="8" l="1"/>
  <c r="DV97" i="8" s="1"/>
  <c r="DP97" i="8"/>
  <c r="CL98" i="8"/>
  <c r="DM97" i="8"/>
  <c r="CK98" i="8"/>
  <c r="DJ97" i="8"/>
  <c r="CJ98" i="8"/>
  <c r="DS98" i="8"/>
  <c r="CM99" i="8"/>
  <c r="CM100" i="8" l="1"/>
  <c r="DS99" i="8"/>
  <c r="DJ98" i="8"/>
  <c r="CJ99" i="8"/>
  <c r="CP98" i="8"/>
  <c r="DV98" i="8" s="1"/>
  <c r="DM98" i="8"/>
  <c r="CK99" i="8"/>
  <c r="CL99" i="8"/>
  <c r="DP98" i="8"/>
  <c r="CK100" i="8" l="1"/>
  <c r="DM99" i="8"/>
  <c r="CL100" i="8"/>
  <c r="DP99" i="8"/>
  <c r="DJ99" i="8"/>
  <c r="CJ100" i="8"/>
  <c r="CP99" i="8"/>
  <c r="DV99" i="8" s="1"/>
  <c r="DS100" i="8"/>
  <c r="CM101" i="8"/>
  <c r="DJ100" i="8" l="1"/>
  <c r="CJ101" i="8"/>
  <c r="CP100" i="8"/>
  <c r="DV100" i="8" s="1"/>
  <c r="CM102" i="8"/>
  <c r="DS101" i="8"/>
  <c r="DP100" i="8"/>
  <c r="CL101" i="8"/>
  <c r="DM100" i="8"/>
  <c r="CK101" i="8"/>
  <c r="DS102" i="8" l="1"/>
  <c r="CM103" i="8"/>
  <c r="CK102" i="8"/>
  <c r="DM101" i="8"/>
  <c r="DP101" i="8"/>
  <c r="CL102" i="8"/>
  <c r="CP101" i="8"/>
  <c r="DV101" i="8" s="1"/>
  <c r="CJ102" i="8"/>
  <c r="DJ101" i="8"/>
  <c r="DP102" i="8" l="1"/>
  <c r="CL103" i="8"/>
  <c r="DS103" i="8"/>
  <c r="CM104" i="8"/>
  <c r="DJ102" i="8"/>
  <c r="CJ103" i="8"/>
  <c r="CP102" i="8"/>
  <c r="DV102" i="8" s="1"/>
  <c r="DM102" i="8"/>
  <c r="CK103" i="8"/>
  <c r="CM105" i="8" l="1"/>
  <c r="DS104" i="8"/>
  <c r="CL104" i="8"/>
  <c r="DP103" i="8"/>
  <c r="DJ103" i="8"/>
  <c r="CJ104" i="8"/>
  <c r="CP103" i="8"/>
  <c r="DV103" i="8" s="1"/>
  <c r="CK104" i="8"/>
  <c r="DM103" i="8"/>
  <c r="DJ104" i="8" l="1"/>
  <c r="CJ105" i="8"/>
  <c r="CP104" i="8"/>
  <c r="DV104" i="8" s="1"/>
  <c r="CK105" i="8"/>
  <c r="DM104" i="8"/>
  <c r="CL105" i="8"/>
  <c r="DP104" i="8"/>
  <c r="CM106" i="8"/>
  <c r="DS105" i="8"/>
  <c r="CL106" i="8" l="1"/>
  <c r="DP105" i="8"/>
  <c r="CK106" i="8"/>
  <c r="DM105" i="8"/>
  <c r="CJ106" i="8"/>
  <c r="DJ105" i="8"/>
  <c r="CP105" i="8"/>
  <c r="DV105" i="8" s="1"/>
  <c r="CM107" i="8"/>
  <c r="DS106" i="8"/>
  <c r="CM108" i="8" l="1"/>
  <c r="DS107" i="8"/>
  <c r="DJ106" i="8"/>
  <c r="CJ107" i="8"/>
  <c r="CP106" i="8"/>
  <c r="DV106" i="8" s="1"/>
  <c r="DM106" i="8"/>
  <c r="CK107" i="8"/>
  <c r="DP106" i="8"/>
  <c r="CL107" i="8"/>
  <c r="DJ107" i="8" l="1"/>
  <c r="CJ108" i="8"/>
  <c r="CP107" i="8"/>
  <c r="DV107" i="8" s="1"/>
  <c r="DP107" i="8"/>
  <c r="CL108" i="8"/>
  <c r="DM107" i="8"/>
  <c r="CK108" i="8"/>
  <c r="DS108" i="8"/>
  <c r="CM109" i="8"/>
  <c r="CJ109" i="8" l="1"/>
  <c r="DJ108" i="8"/>
  <c r="CP108" i="8"/>
  <c r="DV108" i="8" s="1"/>
  <c r="CM110" i="8"/>
  <c r="DS109" i="8"/>
  <c r="CK109" i="8"/>
  <c r="DM108" i="8"/>
  <c r="CL109" i="8"/>
  <c r="DP108" i="8"/>
  <c r="DP109" i="8" l="1"/>
  <c r="CL110" i="8"/>
  <c r="DM109" i="8"/>
  <c r="CK110" i="8"/>
  <c r="CM111" i="8"/>
  <c r="DS110" i="8"/>
  <c r="CJ110" i="8"/>
  <c r="DJ109" i="8"/>
  <c r="CP109" i="8"/>
  <c r="DV109" i="8" s="1"/>
  <c r="CK111" i="8" l="1"/>
  <c r="DM110" i="8"/>
  <c r="CL111" i="8"/>
  <c r="DP110" i="8"/>
  <c r="DJ110" i="8"/>
  <c r="CJ111" i="8"/>
  <c r="CP110" i="8"/>
  <c r="DV110" i="8" s="1"/>
  <c r="CM112" i="8"/>
  <c r="DS111" i="8"/>
  <c r="DS112" i="8" l="1"/>
  <c r="CM113" i="8"/>
  <c r="CJ112" i="8"/>
  <c r="DJ111" i="8"/>
  <c r="CP111" i="8"/>
  <c r="DV111" i="8" s="1"/>
  <c r="DP111" i="8"/>
  <c r="CL112" i="8"/>
  <c r="CK112" i="8"/>
  <c r="DM111" i="8"/>
  <c r="CM114" i="8" l="1"/>
  <c r="DS113" i="8"/>
  <c r="DM112" i="8"/>
  <c r="CK113" i="8"/>
  <c r="DP112" i="8"/>
  <c r="CL113" i="8"/>
  <c r="DJ112" i="8"/>
  <c r="CJ113" i="8"/>
  <c r="CP112" i="8"/>
  <c r="DV112" i="8" s="1"/>
  <c r="DJ113" i="8" l="1"/>
  <c r="CJ114" i="8"/>
  <c r="CP113" i="8"/>
  <c r="DV113" i="8" s="1"/>
  <c r="CL114" i="8"/>
  <c r="DP113" i="8"/>
  <c r="CK114" i="8"/>
  <c r="DM113" i="8"/>
  <c r="DS114" i="8"/>
  <c r="CM115" i="8"/>
  <c r="DM114" i="8" l="1"/>
  <c r="CK115" i="8"/>
  <c r="DP114" i="8"/>
  <c r="CL115" i="8"/>
  <c r="DJ114" i="8"/>
  <c r="CJ115" i="8"/>
  <c r="CP114" i="8"/>
  <c r="DV114" i="8" s="1"/>
  <c r="CM116" i="8"/>
  <c r="DS115" i="8"/>
  <c r="DS116" i="8" l="1"/>
  <c r="CM117" i="8"/>
  <c r="DJ115" i="8"/>
  <c r="CJ116" i="8"/>
  <c r="CL116" i="8"/>
  <c r="DP115" i="8"/>
  <c r="CP115" i="8"/>
  <c r="DV115" i="8" s="1"/>
  <c r="DM115" i="8"/>
  <c r="CK116" i="8"/>
  <c r="CJ117" i="8" l="1"/>
  <c r="DJ116" i="8"/>
  <c r="CP116" i="8"/>
  <c r="DV116" i="8" s="1"/>
  <c r="CM118" i="8"/>
  <c r="DS117" i="8"/>
  <c r="CK117" i="8"/>
  <c r="DM116" i="8"/>
  <c r="DP116" i="8"/>
  <c r="CL117" i="8"/>
  <c r="CK118" i="8" l="1"/>
  <c r="DM117" i="8"/>
  <c r="DS118" i="8"/>
  <c r="CM119" i="8"/>
  <c r="CL118" i="8"/>
  <c r="DP117" i="8"/>
  <c r="DJ117" i="8"/>
  <c r="CJ118" i="8"/>
  <c r="CP117" i="8"/>
  <c r="DV117" i="8" s="1"/>
  <c r="DJ118" i="8" l="1"/>
  <c r="CJ119" i="8"/>
  <c r="CP118" i="8"/>
  <c r="DV118" i="8" s="1"/>
  <c r="CM120" i="8"/>
  <c r="DS119" i="8"/>
  <c r="DP118" i="8"/>
  <c r="CL119" i="8"/>
  <c r="CK119" i="8"/>
  <c r="DM118" i="8"/>
  <c r="CK120" i="8" l="1"/>
  <c r="DM119" i="8"/>
  <c r="CM121" i="8"/>
  <c r="DS120" i="8"/>
  <c r="CJ120" i="8"/>
  <c r="DJ119" i="8"/>
  <c r="CP119" i="8"/>
  <c r="DV119" i="8" s="1"/>
  <c r="CL120" i="8"/>
  <c r="DP119" i="8"/>
  <c r="CL121" i="8" l="1"/>
  <c r="DP120" i="8"/>
  <c r="DJ120" i="8"/>
  <c r="CJ121" i="8"/>
  <c r="CP120" i="8"/>
  <c r="DV120" i="8" s="1"/>
  <c r="DS121" i="8"/>
  <c r="CM122" i="8"/>
  <c r="CK121" i="8"/>
  <c r="DM120" i="8"/>
  <c r="DM121" i="8" l="1"/>
  <c r="CK122" i="8"/>
  <c r="CJ122" i="8"/>
  <c r="DJ121" i="8"/>
  <c r="CP121" i="8"/>
  <c r="DV121" i="8" s="1"/>
  <c r="DS122" i="8"/>
  <c r="CM123" i="8"/>
  <c r="DP121" i="8"/>
  <c r="CL122" i="8"/>
  <c r="CK123" i="8" l="1"/>
  <c r="DM122" i="8"/>
  <c r="DP122" i="8"/>
  <c r="CL123" i="8"/>
  <c r="CM124" i="8"/>
  <c r="DS123" i="8"/>
  <c r="CJ123" i="8"/>
  <c r="DJ122" i="8"/>
  <c r="CP122" i="8"/>
  <c r="DV122" i="8" s="1"/>
  <c r="CL124" i="8" l="1"/>
  <c r="DP123" i="8"/>
  <c r="DJ123" i="8"/>
  <c r="CJ124" i="8"/>
  <c r="CP123" i="8"/>
  <c r="DV123" i="8" s="1"/>
  <c r="CM125" i="8"/>
  <c r="DS124" i="8"/>
  <c r="CK124" i="8"/>
  <c r="DM123" i="8"/>
  <c r="CK125" i="8" l="1"/>
  <c r="DM124" i="8"/>
  <c r="DS125" i="8"/>
  <c r="CM126" i="8"/>
  <c r="CJ125" i="8"/>
  <c r="DJ124" i="8"/>
  <c r="CP124" i="8"/>
  <c r="DV124" i="8" s="1"/>
  <c r="CL125" i="8"/>
  <c r="DP124" i="8"/>
  <c r="DP125" i="8" l="1"/>
  <c r="CL126" i="8"/>
  <c r="CM127" i="8"/>
  <c r="DS126" i="8"/>
  <c r="DJ125" i="8"/>
  <c r="CJ126" i="8"/>
  <c r="CP125" i="8"/>
  <c r="DV125" i="8" s="1"/>
  <c r="DM125" i="8"/>
  <c r="CK126" i="8"/>
  <c r="CK127" i="8" l="1"/>
  <c r="DM126" i="8"/>
  <c r="DS127" i="8"/>
  <c r="CM128" i="8"/>
  <c r="CJ127" i="8"/>
  <c r="DJ126" i="8"/>
  <c r="CP126" i="8"/>
  <c r="DV126" i="8" s="1"/>
  <c r="CL127" i="8"/>
  <c r="DP126" i="8"/>
  <c r="DP127" i="8" l="1"/>
  <c r="CL128" i="8"/>
  <c r="CM129" i="8"/>
  <c r="DS128" i="8"/>
  <c r="DJ127" i="8"/>
  <c r="CJ128" i="8"/>
  <c r="CP127" i="8"/>
  <c r="DV127" i="8" s="1"/>
  <c r="DM127" i="8"/>
  <c r="CK128" i="8"/>
  <c r="DJ128" i="8" l="1"/>
  <c r="CJ129" i="8"/>
  <c r="CP128" i="8"/>
  <c r="DV128" i="8" s="1"/>
  <c r="CL129" i="8"/>
  <c r="DP128" i="8"/>
  <c r="CK129" i="8"/>
  <c r="DM128" i="8"/>
  <c r="CM130" i="8"/>
  <c r="DS129" i="8"/>
  <c r="DS130" i="8" l="1"/>
  <c r="CM131" i="8"/>
  <c r="CL130" i="8"/>
  <c r="DP129" i="8"/>
  <c r="CJ130" i="8"/>
  <c r="DJ129" i="8"/>
  <c r="CP129" i="8"/>
  <c r="DV129" i="8" s="1"/>
  <c r="DM129" i="8"/>
  <c r="CK130" i="8"/>
  <c r="CM132" i="8" l="1"/>
  <c r="DS131" i="8"/>
  <c r="DM130" i="8"/>
  <c r="CK131" i="8"/>
  <c r="DJ130" i="8"/>
  <c r="CJ131" i="8"/>
  <c r="CP130" i="8"/>
  <c r="DV130" i="8" s="1"/>
  <c r="CL131" i="8"/>
  <c r="DP130" i="8"/>
  <c r="CL132" i="8" l="1"/>
  <c r="DP131" i="8"/>
  <c r="CJ132" i="8"/>
  <c r="DJ131" i="8"/>
  <c r="CP131" i="8"/>
  <c r="DV131" i="8" s="1"/>
  <c r="DM131" i="8"/>
  <c r="CK132" i="8"/>
  <c r="DS132" i="8"/>
  <c r="CM133" i="8"/>
  <c r="CM134" i="8" l="1"/>
  <c r="DS133" i="8"/>
  <c r="CK133" i="8"/>
  <c r="DM132" i="8"/>
  <c r="CJ133" i="8"/>
  <c r="DJ132" i="8"/>
  <c r="CP132" i="8"/>
  <c r="DV132" i="8" s="1"/>
  <c r="DP132" i="8"/>
  <c r="CL133" i="8"/>
  <c r="DP133" i="8" l="1"/>
  <c r="CL134" i="8"/>
  <c r="DJ133" i="8"/>
  <c r="CJ134" i="8"/>
  <c r="CP133" i="8"/>
  <c r="DV133" i="8" s="1"/>
  <c r="CK134" i="8"/>
  <c r="DM133" i="8"/>
  <c r="DS134" i="8"/>
  <c r="CM135" i="8"/>
  <c r="CM136" i="8" l="1"/>
  <c r="DS135" i="8"/>
  <c r="DM134" i="8"/>
  <c r="CK135" i="8"/>
  <c r="CJ135" i="8"/>
  <c r="DJ134" i="8"/>
  <c r="CP134" i="8"/>
  <c r="DV134" i="8" s="1"/>
  <c r="DP134" i="8"/>
  <c r="CL135" i="8"/>
  <c r="CK136" i="8" l="1"/>
  <c r="DM135" i="8"/>
  <c r="CL136" i="8"/>
  <c r="DP135" i="8"/>
  <c r="CJ136" i="8"/>
  <c r="DJ135" i="8"/>
  <c r="CP135" i="8"/>
  <c r="DV135" i="8" s="1"/>
  <c r="CM137" i="8"/>
  <c r="DS136" i="8"/>
  <c r="DS137" i="8" l="1"/>
  <c r="CM138" i="8"/>
  <c r="CJ137" i="8"/>
  <c r="DJ136" i="8"/>
  <c r="CL137" i="8"/>
  <c r="DP136" i="8"/>
  <c r="CP136" i="8"/>
  <c r="DV136" i="8" s="1"/>
  <c r="CK137" i="8"/>
  <c r="DM136" i="8"/>
  <c r="DM137" i="8" l="1"/>
  <c r="CK138" i="8"/>
  <c r="CM139" i="8"/>
  <c r="DS138" i="8"/>
  <c r="DP137" i="8"/>
  <c r="CL138" i="8"/>
  <c r="DJ137" i="8"/>
  <c r="CJ138" i="8"/>
  <c r="CP137" i="8"/>
  <c r="DV137" i="8" s="1"/>
  <c r="DJ138" i="8" l="1"/>
  <c r="CJ139" i="8"/>
  <c r="CP138" i="8"/>
  <c r="DV138" i="8" s="1"/>
  <c r="DP138" i="8"/>
  <c r="CL139" i="8"/>
  <c r="DM138" i="8"/>
  <c r="CK139" i="8"/>
  <c r="DS139" i="8"/>
  <c r="CM140" i="8"/>
  <c r="CM141" i="8" l="1"/>
  <c r="DS140" i="8"/>
  <c r="DM139" i="8"/>
  <c r="CK140" i="8"/>
  <c r="DP139" i="8"/>
  <c r="CL140" i="8"/>
  <c r="DJ139" i="8"/>
  <c r="CJ140" i="8"/>
  <c r="CP139" i="8"/>
  <c r="DV139" i="8" s="1"/>
  <c r="CJ141" i="8" l="1"/>
  <c r="DJ140" i="8"/>
  <c r="CP140" i="8"/>
  <c r="DV140" i="8" s="1"/>
  <c r="CL141" i="8"/>
  <c r="DP140" i="8"/>
  <c r="CK141" i="8"/>
  <c r="DM140" i="8"/>
  <c r="CM142" i="8"/>
  <c r="DS141" i="8"/>
  <c r="CM143" i="8" l="1"/>
  <c r="DS142" i="8"/>
  <c r="CK142" i="8"/>
  <c r="DM141" i="8"/>
  <c r="CL142" i="8"/>
  <c r="DP141" i="8"/>
  <c r="CJ142" i="8"/>
  <c r="DJ141" i="8"/>
  <c r="CP141" i="8"/>
  <c r="DV141" i="8" s="1"/>
  <c r="CP142" i="8" l="1"/>
  <c r="DV142" i="8" s="1"/>
  <c r="CJ143" i="8"/>
  <c r="DJ142" i="8"/>
  <c r="CL143" i="8"/>
  <c r="DP142" i="8"/>
  <c r="CK143" i="8"/>
  <c r="DM142" i="8"/>
  <c r="DS143" i="8"/>
  <c r="CM144" i="8"/>
  <c r="CP143" i="8" l="1"/>
  <c r="DV143" i="8" s="1"/>
  <c r="DM143" i="8"/>
  <c r="CK144" i="8"/>
  <c r="DP143" i="8"/>
  <c r="CL144" i="8"/>
  <c r="CJ144" i="8"/>
  <c r="DJ143" i="8"/>
  <c r="CM145" i="8"/>
  <c r="DS144" i="8"/>
  <c r="DS145" i="8" l="1"/>
  <c r="CM146" i="8"/>
  <c r="CL145" i="8"/>
  <c r="DP144" i="8"/>
  <c r="CK145" i="8"/>
  <c r="DM144" i="8"/>
  <c r="CP144" i="8"/>
  <c r="DV144" i="8" s="1"/>
  <c r="CJ145" i="8"/>
  <c r="DJ144" i="8"/>
  <c r="CP145" i="8" l="1"/>
  <c r="DV145" i="8" s="1"/>
  <c r="DM145" i="8"/>
  <c r="CK146" i="8"/>
  <c r="DP145" i="8"/>
  <c r="CL146" i="8"/>
  <c r="CJ146" i="8"/>
  <c r="DJ145" i="8"/>
  <c r="DS146" i="8"/>
  <c r="CM147" i="8"/>
  <c r="CP146" i="8" l="1"/>
  <c r="DV146" i="8" s="1"/>
  <c r="CM148" i="8"/>
  <c r="DS147" i="8"/>
  <c r="CJ147" i="8"/>
  <c r="DJ146" i="8"/>
  <c r="DP146" i="8"/>
  <c r="CL147" i="8"/>
  <c r="DM146" i="8"/>
  <c r="CK147" i="8"/>
  <c r="CK148" i="8" l="1"/>
  <c r="DM147" i="8"/>
  <c r="CL148" i="8"/>
  <c r="DP147" i="8"/>
  <c r="CJ148" i="8"/>
  <c r="DJ147" i="8"/>
  <c r="CP147" i="8"/>
  <c r="DV147" i="8" s="1"/>
  <c r="CM149" i="8"/>
  <c r="DS148" i="8"/>
  <c r="DS149" i="8" l="1"/>
  <c r="CM150" i="8"/>
  <c r="DJ148" i="8"/>
  <c r="CJ149" i="8"/>
  <c r="CP148" i="8"/>
  <c r="DV148" i="8" s="1"/>
  <c r="CL149" i="8"/>
  <c r="DP148" i="8"/>
  <c r="CK149" i="8"/>
  <c r="DM148" i="8"/>
  <c r="CL150" i="8" l="1"/>
  <c r="DP149" i="8"/>
  <c r="CM151" i="8"/>
  <c r="DS150" i="8"/>
  <c r="CK150" i="8"/>
  <c r="DM149" i="8"/>
  <c r="CJ150" i="8"/>
  <c r="DJ149" i="8"/>
  <c r="CP149" i="8"/>
  <c r="DV149" i="8" s="1"/>
  <c r="DJ150" i="8" l="1"/>
  <c r="CJ151" i="8"/>
  <c r="CP150" i="8"/>
  <c r="DV150" i="8" s="1"/>
  <c r="CK151" i="8"/>
  <c r="DM150" i="8"/>
  <c r="CM152" i="8"/>
  <c r="DS151" i="8"/>
  <c r="CL151" i="8"/>
  <c r="DP150" i="8"/>
  <c r="CL152" i="8" l="1"/>
  <c r="DP151" i="8"/>
  <c r="CM153" i="8"/>
  <c r="DS152" i="8"/>
  <c r="CK152" i="8"/>
  <c r="DM151" i="8"/>
  <c r="DJ151" i="8"/>
  <c r="CJ152" i="8"/>
  <c r="CP151" i="8"/>
  <c r="DV151" i="8" s="1"/>
  <c r="CJ153" i="8" l="1"/>
  <c r="DJ152" i="8"/>
  <c r="CP152" i="8"/>
  <c r="DV152" i="8" s="1"/>
  <c r="CK153" i="8"/>
  <c r="DM152" i="8"/>
  <c r="CM154" i="8"/>
  <c r="DS153" i="8"/>
  <c r="DP152" i="8"/>
  <c r="CL153" i="8"/>
  <c r="CM155" i="8" l="1"/>
  <c r="DS154" i="8"/>
  <c r="DM153" i="8"/>
  <c r="CK154" i="8"/>
  <c r="CL154" i="8"/>
  <c r="DP153" i="8"/>
  <c r="CJ154" i="8"/>
  <c r="DJ153" i="8"/>
  <c r="CP153" i="8"/>
  <c r="DV153" i="8" s="1"/>
  <c r="CK155" i="8" l="1"/>
  <c r="DM154" i="8"/>
  <c r="CJ155" i="8"/>
  <c r="DJ154" i="8"/>
  <c r="CP154" i="8"/>
  <c r="DV154" i="8" s="1"/>
  <c r="CL155" i="8"/>
  <c r="DP154" i="8"/>
  <c r="DS155" i="8"/>
  <c r="CM156" i="8"/>
  <c r="DP155" i="8" l="1"/>
  <c r="CL156" i="8"/>
  <c r="DS156" i="8"/>
  <c r="CM157" i="8"/>
  <c r="CJ156" i="8"/>
  <c r="DJ155" i="8"/>
  <c r="CP155" i="8"/>
  <c r="DV155" i="8" s="1"/>
  <c r="DM155" i="8"/>
  <c r="CK156" i="8"/>
  <c r="DS157" i="8" l="1"/>
  <c r="CM158" i="8"/>
  <c r="DP156" i="8"/>
  <c r="CL157" i="8"/>
  <c r="DM156" i="8"/>
  <c r="CK157" i="8"/>
  <c r="DJ156" i="8"/>
  <c r="CJ157" i="8"/>
  <c r="CP156" i="8"/>
  <c r="DV156" i="8" s="1"/>
  <c r="DJ157" i="8" l="1"/>
  <c r="CJ158" i="8"/>
  <c r="CP157" i="8"/>
  <c r="DV157" i="8" s="1"/>
  <c r="DM157" i="8"/>
  <c r="CK158" i="8"/>
  <c r="DP157" i="8"/>
  <c r="CL158" i="8"/>
  <c r="DS158" i="8"/>
  <c r="CM159" i="8"/>
  <c r="CJ159" i="8" l="1"/>
  <c r="DJ158" i="8"/>
  <c r="CP158" i="8"/>
  <c r="DV158" i="8" s="1"/>
  <c r="CM160" i="8"/>
  <c r="DS159" i="8"/>
  <c r="DP158" i="8"/>
  <c r="CL159" i="8"/>
  <c r="DM158" i="8"/>
  <c r="CK159" i="8"/>
  <c r="CM161" i="8" l="1"/>
  <c r="DS160" i="8"/>
  <c r="CK160" i="8"/>
  <c r="DM159" i="8"/>
  <c r="CL160" i="8"/>
  <c r="DP159" i="8"/>
  <c r="DJ159" i="8"/>
  <c r="CJ160" i="8"/>
  <c r="CP159" i="8"/>
  <c r="DV159" i="8" s="1"/>
  <c r="DJ160" i="8" l="1"/>
  <c r="CJ161" i="8"/>
  <c r="CP160" i="8"/>
  <c r="DV160" i="8" s="1"/>
  <c r="CL161" i="8"/>
  <c r="DP160" i="8"/>
  <c r="CK161" i="8"/>
  <c r="DM160" i="8"/>
  <c r="CM162" i="8"/>
  <c r="DS161" i="8"/>
  <c r="DS162" i="8" l="1"/>
  <c r="CM163" i="8"/>
  <c r="CK162" i="8"/>
  <c r="DM161" i="8"/>
  <c r="CL162" i="8"/>
  <c r="DP161" i="8"/>
  <c r="DJ161" i="8"/>
  <c r="CJ162" i="8"/>
  <c r="CP161" i="8"/>
  <c r="DV161" i="8" s="1"/>
  <c r="DJ162" i="8" l="1"/>
  <c r="CJ163" i="8"/>
  <c r="CP162" i="8"/>
  <c r="DV162" i="8" s="1"/>
  <c r="CM164" i="8"/>
  <c r="DS163" i="8"/>
  <c r="DP162" i="8"/>
  <c r="CL163" i="8"/>
  <c r="DM162" i="8"/>
  <c r="CK163" i="8"/>
  <c r="CM165" i="8" l="1"/>
  <c r="DS164" i="8"/>
  <c r="CJ164" i="8"/>
  <c r="DJ163" i="8"/>
  <c r="CP163" i="8"/>
  <c r="DV163" i="8" s="1"/>
  <c r="CK164" i="8"/>
  <c r="DM163" i="8"/>
  <c r="CL164" i="8"/>
  <c r="DP163" i="8"/>
  <c r="DP164" i="8" l="1"/>
  <c r="CL165" i="8"/>
  <c r="DM164" i="8"/>
  <c r="CK165" i="8"/>
  <c r="CJ165" i="8"/>
  <c r="DJ164" i="8"/>
  <c r="CP164" i="8"/>
  <c r="DV164" i="8" s="1"/>
  <c r="CM166" i="8"/>
  <c r="DS165" i="8"/>
  <c r="CM167" i="8" l="1"/>
  <c r="DS166" i="8"/>
  <c r="CK166" i="8"/>
  <c r="DM165" i="8"/>
  <c r="CL166" i="8"/>
  <c r="DP165" i="8"/>
  <c r="DJ165" i="8"/>
  <c r="CJ166" i="8"/>
  <c r="CP165" i="8"/>
  <c r="DV165" i="8" s="1"/>
  <c r="CJ167" i="8" l="1"/>
  <c r="DJ166" i="8"/>
  <c r="CP166" i="8"/>
  <c r="DV166" i="8" s="1"/>
  <c r="CL167" i="8"/>
  <c r="DP166" i="8"/>
  <c r="CK167" i="8"/>
  <c r="DM166" i="8"/>
  <c r="CM168" i="8"/>
  <c r="DS167" i="8"/>
  <c r="DS168" i="8" l="1"/>
  <c r="CM169" i="8"/>
  <c r="DM167" i="8"/>
  <c r="CK168" i="8"/>
  <c r="DP167" i="8"/>
  <c r="CL168" i="8"/>
  <c r="CJ168" i="8"/>
  <c r="DJ167" i="8"/>
  <c r="CP167" i="8"/>
  <c r="DV167" i="8" s="1"/>
  <c r="DP168" i="8" l="1"/>
  <c r="CL169" i="8"/>
  <c r="DM168" i="8"/>
  <c r="CK169" i="8"/>
  <c r="DS169" i="8"/>
  <c r="CM170" i="8"/>
  <c r="CJ169" i="8"/>
  <c r="DJ168" i="8"/>
  <c r="CP168" i="8"/>
  <c r="DV168" i="8" s="1"/>
  <c r="CM171" i="8" l="1"/>
  <c r="DS170" i="8"/>
  <c r="DM169" i="8"/>
  <c r="CK170" i="8"/>
  <c r="DP169" i="8"/>
  <c r="CL170" i="8"/>
  <c r="CJ170" i="8"/>
  <c r="DJ169" i="8"/>
  <c r="CP169" i="8"/>
  <c r="DV169" i="8" s="1"/>
  <c r="CL171" i="8" l="1"/>
  <c r="DP170" i="8"/>
  <c r="CK171" i="8"/>
  <c r="DM170" i="8"/>
  <c r="DJ170" i="8"/>
  <c r="CJ171" i="8"/>
  <c r="CP170" i="8"/>
  <c r="DV170" i="8" s="1"/>
  <c r="DS171" i="8"/>
  <c r="CM172" i="8"/>
  <c r="DJ171" i="8" l="1"/>
  <c r="CJ172" i="8"/>
  <c r="CP171" i="8"/>
  <c r="DV171" i="8" s="1"/>
  <c r="CM173" i="8"/>
  <c r="DS172" i="8"/>
  <c r="CK172" i="8"/>
  <c r="DM171" i="8"/>
  <c r="DP171" i="8"/>
  <c r="CL172" i="8"/>
  <c r="CK173" i="8" l="1"/>
  <c r="DM172" i="8"/>
  <c r="CM174" i="8"/>
  <c r="DS173" i="8"/>
  <c r="CJ173" i="8"/>
  <c r="DJ172" i="8"/>
  <c r="CP172" i="8"/>
  <c r="DV172" i="8" s="1"/>
  <c r="CL173" i="8"/>
  <c r="DP172" i="8"/>
  <c r="CL174" i="8" l="1"/>
  <c r="DP173" i="8"/>
  <c r="DJ173" i="8"/>
  <c r="CJ174" i="8"/>
  <c r="CP173" i="8"/>
  <c r="DV173" i="8" s="1"/>
  <c r="CM175" i="8"/>
  <c r="DS174" i="8"/>
  <c r="CK174" i="8"/>
  <c r="DM173" i="8"/>
  <c r="CK175" i="8" l="1"/>
  <c r="DM174" i="8"/>
  <c r="DS175" i="8"/>
  <c r="CM176" i="8"/>
  <c r="CJ175" i="8"/>
  <c r="DJ174" i="8"/>
  <c r="CP174" i="8"/>
  <c r="DV174" i="8" s="1"/>
  <c r="CL175" i="8"/>
  <c r="DP174" i="8"/>
  <c r="DP175" i="8" l="1"/>
  <c r="CL176" i="8"/>
  <c r="DS176" i="8"/>
  <c r="CM177" i="8"/>
  <c r="DJ175" i="8"/>
  <c r="CJ176" i="8"/>
  <c r="CP175" i="8"/>
  <c r="DV175" i="8" s="1"/>
  <c r="DM175" i="8"/>
  <c r="CK176" i="8"/>
  <c r="DM176" i="8" l="1"/>
  <c r="CK177" i="8"/>
  <c r="CJ177" i="8"/>
  <c r="CP176" i="8"/>
  <c r="DV176" i="8" s="1"/>
  <c r="DJ176" i="8"/>
  <c r="DS177" i="8"/>
  <c r="CM178" i="8"/>
  <c r="DP176" i="8"/>
  <c r="CL177" i="8"/>
  <c r="DM177" i="8" l="1"/>
  <c r="CK178" i="8"/>
  <c r="DP177" i="8"/>
  <c r="CL178" i="8"/>
  <c r="DS178" i="8"/>
  <c r="CM179" i="8"/>
  <c r="DJ177" i="8"/>
  <c r="CJ178" i="8"/>
  <c r="CP177" i="8"/>
  <c r="DV177" i="8" s="1"/>
  <c r="DP178" i="8" l="1"/>
  <c r="CL179" i="8"/>
  <c r="DM178" i="8"/>
  <c r="CK179" i="8"/>
  <c r="CJ179" i="8"/>
  <c r="DJ178" i="8"/>
  <c r="DS179" i="8"/>
  <c r="CM180" i="8"/>
  <c r="CP178" i="8"/>
  <c r="DV178" i="8" s="1"/>
  <c r="DJ179" i="8" l="1"/>
  <c r="CJ180" i="8"/>
  <c r="CP179" i="8"/>
  <c r="DV179" i="8" s="1"/>
  <c r="DS180" i="8"/>
  <c r="CM181" i="8"/>
  <c r="DM179" i="8"/>
  <c r="CK180" i="8"/>
  <c r="DP179" i="8"/>
  <c r="CL180" i="8"/>
  <c r="DP180" i="8" l="1"/>
  <c r="CL181" i="8"/>
  <c r="DM180" i="8"/>
  <c r="CK181" i="8"/>
  <c r="DS181" i="8"/>
  <c r="CM182" i="8"/>
  <c r="DJ180" i="8"/>
  <c r="CJ181" i="8"/>
  <c r="CP180" i="8"/>
  <c r="DV180" i="8" s="1"/>
  <c r="CM183" i="8" l="1"/>
  <c r="DS182" i="8"/>
  <c r="DP181" i="8"/>
  <c r="CL182" i="8"/>
  <c r="CJ182" i="8"/>
  <c r="DJ181" i="8"/>
  <c r="CP181" i="8"/>
  <c r="DV181" i="8" s="1"/>
  <c r="DM181" i="8"/>
  <c r="CK182" i="8"/>
  <c r="CL183" i="8" l="1"/>
  <c r="DP182" i="8"/>
  <c r="CK183" i="8"/>
  <c r="DM182" i="8"/>
  <c r="CJ183" i="8"/>
  <c r="DJ182" i="8"/>
  <c r="CP182" i="8"/>
  <c r="DV182" i="8" s="1"/>
  <c r="DS183" i="8"/>
  <c r="CM184" i="8"/>
  <c r="DS184" i="8" l="1"/>
  <c r="CM185" i="8"/>
  <c r="CJ184" i="8"/>
  <c r="DJ183" i="8"/>
  <c r="CP183" i="8"/>
  <c r="DV183" i="8" s="1"/>
  <c r="DM183" i="8"/>
  <c r="CK184" i="8"/>
  <c r="DP183" i="8"/>
  <c r="CL184" i="8"/>
  <c r="DS185" i="8" l="1"/>
  <c r="CM186" i="8"/>
  <c r="DP184" i="8"/>
  <c r="CL185" i="8"/>
  <c r="DM184" i="8"/>
  <c r="CK185" i="8"/>
  <c r="CJ185" i="8"/>
  <c r="DJ184" i="8"/>
  <c r="CP184" i="8"/>
  <c r="DV184" i="8" s="1"/>
  <c r="DM185" i="8" l="1"/>
  <c r="CK186" i="8"/>
  <c r="DP185" i="8"/>
  <c r="CL186" i="8"/>
  <c r="DS186" i="8"/>
  <c r="CM187" i="8"/>
  <c r="DJ185" i="8"/>
  <c r="CJ186" i="8"/>
  <c r="CP185" i="8"/>
  <c r="DV185" i="8" s="1"/>
  <c r="DJ186" i="8" l="1"/>
  <c r="CJ187" i="8"/>
  <c r="CP186" i="8"/>
  <c r="DV186" i="8" s="1"/>
  <c r="DS187" i="8"/>
  <c r="CM188" i="8"/>
  <c r="DP186" i="8"/>
  <c r="CL187" i="8"/>
  <c r="DM186" i="8"/>
  <c r="CK187" i="8"/>
  <c r="CJ188" i="8" l="1"/>
  <c r="DJ187" i="8"/>
  <c r="CP187" i="8"/>
  <c r="DV187" i="8" s="1"/>
  <c r="DM187" i="8"/>
  <c r="CK188" i="8"/>
  <c r="DP187" i="8"/>
  <c r="CL188" i="8"/>
  <c r="DS188" i="8"/>
  <c r="CM189" i="8"/>
  <c r="CM190" i="8" l="1"/>
  <c r="DS189" i="8"/>
  <c r="DP188" i="8"/>
  <c r="CL189" i="8"/>
  <c r="DM188" i="8"/>
  <c r="CK189" i="8"/>
  <c r="CJ189" i="8"/>
  <c r="DJ188" i="8"/>
  <c r="CP188" i="8"/>
  <c r="DV188" i="8" s="1"/>
  <c r="CK190" i="8" l="1"/>
  <c r="DM189" i="8"/>
  <c r="CL190" i="8"/>
  <c r="DP189" i="8"/>
  <c r="CJ190" i="8"/>
  <c r="DJ189" i="8"/>
  <c r="CP189" i="8"/>
  <c r="DV189" i="8" s="1"/>
  <c r="CM191" i="8"/>
  <c r="DS190" i="8"/>
  <c r="CM192" i="8" l="1"/>
  <c r="DS191" i="8"/>
  <c r="DJ190" i="8"/>
  <c r="CJ191" i="8"/>
  <c r="CP190" i="8"/>
  <c r="DV190" i="8" s="1"/>
  <c r="CL191" i="8"/>
  <c r="DP190" i="8"/>
  <c r="CK191" i="8"/>
  <c r="DM190" i="8"/>
  <c r="CK192" i="8" l="1"/>
  <c r="DM191" i="8"/>
  <c r="CL192" i="8"/>
  <c r="DP191" i="8"/>
  <c r="CJ192" i="8"/>
  <c r="DJ191" i="8"/>
  <c r="CP191" i="8"/>
  <c r="DV191" i="8" s="1"/>
  <c r="DS192" i="8"/>
  <c r="CM193" i="8"/>
  <c r="DS193" i="8" l="1"/>
  <c r="CM194" i="8"/>
  <c r="DJ192" i="8"/>
  <c r="CJ193" i="8"/>
  <c r="CP192" i="8"/>
  <c r="DV192" i="8" s="1"/>
  <c r="DP192" i="8"/>
  <c r="CL193" i="8"/>
  <c r="DM192" i="8"/>
  <c r="CK193" i="8"/>
  <c r="CJ194" i="8" l="1"/>
  <c r="DJ193" i="8"/>
  <c r="CP193" i="8"/>
  <c r="DV193" i="8" s="1"/>
  <c r="DS194" i="8"/>
  <c r="CM195" i="8"/>
  <c r="DM193" i="8"/>
  <c r="CK194" i="8"/>
  <c r="DP193" i="8"/>
  <c r="CL194" i="8"/>
  <c r="DP194" i="8" l="1"/>
  <c r="CL195" i="8"/>
  <c r="DM194" i="8"/>
  <c r="CK195" i="8"/>
  <c r="CM196" i="8"/>
  <c r="DS195" i="8"/>
  <c r="CJ195" i="8"/>
  <c r="DJ194" i="8"/>
  <c r="CP194" i="8"/>
  <c r="DV194" i="8" s="1"/>
  <c r="CL196" i="8" l="1"/>
  <c r="DP195" i="8"/>
  <c r="CK196" i="8"/>
  <c r="DM195" i="8"/>
  <c r="CJ196" i="8"/>
  <c r="DJ195" i="8"/>
  <c r="CP195" i="8"/>
  <c r="DV195" i="8" s="1"/>
  <c r="CM197" i="8"/>
  <c r="DS196" i="8"/>
  <c r="CM198" i="8" l="1"/>
  <c r="DS197" i="8"/>
  <c r="CJ197" i="8"/>
  <c r="DJ196" i="8"/>
  <c r="CP196" i="8"/>
  <c r="DV196" i="8" s="1"/>
  <c r="CK197" i="8"/>
  <c r="DM196" i="8"/>
  <c r="CL197" i="8"/>
  <c r="DP196" i="8"/>
  <c r="CL198" i="8" l="1"/>
  <c r="DP197" i="8"/>
  <c r="CK198" i="8"/>
  <c r="DM197" i="8"/>
  <c r="DJ197" i="8"/>
  <c r="CJ198" i="8"/>
  <c r="CP197" i="8"/>
  <c r="DV197" i="8" s="1"/>
  <c r="DS198" i="8"/>
  <c r="CM199" i="8"/>
  <c r="DJ198" i="8" l="1"/>
  <c r="CJ199" i="8"/>
  <c r="CP198" i="8"/>
  <c r="DV198" i="8" s="1"/>
  <c r="CM200" i="8"/>
  <c r="DS199" i="8"/>
  <c r="DM198" i="8"/>
  <c r="CK199" i="8"/>
  <c r="DP198" i="8"/>
  <c r="CL199" i="8"/>
  <c r="CM201" i="8" l="1"/>
  <c r="DS200" i="8"/>
  <c r="DJ199" i="8"/>
  <c r="CJ200" i="8"/>
  <c r="CP199" i="8"/>
  <c r="DV199" i="8" s="1"/>
  <c r="CL200" i="8"/>
  <c r="DP199" i="8"/>
  <c r="CK200" i="8"/>
  <c r="DM199" i="8"/>
  <c r="CK201" i="8" l="1"/>
  <c r="DM200" i="8"/>
  <c r="CL201" i="8"/>
  <c r="DP200" i="8"/>
  <c r="DJ200" i="8"/>
  <c r="CJ201" i="8"/>
  <c r="CP200" i="8"/>
  <c r="DV200" i="8" s="1"/>
  <c r="DS201" i="8"/>
  <c r="CM202" i="8"/>
  <c r="DS202" i="8" l="1"/>
  <c r="CM203" i="8"/>
  <c r="CL202" i="8"/>
  <c r="DP201" i="8"/>
  <c r="CJ202" i="8"/>
  <c r="DJ201" i="8"/>
  <c r="CP201" i="8"/>
  <c r="DV201" i="8" s="1"/>
  <c r="DM201" i="8"/>
  <c r="CK202" i="8"/>
  <c r="CM204" i="8" l="1"/>
  <c r="DS203" i="8"/>
  <c r="DM202" i="8"/>
  <c r="CK203" i="8"/>
  <c r="CJ203" i="8"/>
  <c r="DJ202" i="8"/>
  <c r="CP202" i="8"/>
  <c r="DV202" i="8" s="1"/>
  <c r="DP202" i="8"/>
  <c r="CL203" i="8"/>
  <c r="DM203" i="8" l="1"/>
  <c r="CK204" i="8"/>
  <c r="DP203" i="8"/>
  <c r="CL204" i="8"/>
  <c r="CJ204" i="8"/>
  <c r="DJ203" i="8"/>
  <c r="CP203" i="8"/>
  <c r="DV203" i="8" s="1"/>
  <c r="CM205" i="8"/>
  <c r="DS204" i="8"/>
  <c r="DS205" i="8" l="1"/>
  <c r="CM206" i="8"/>
  <c r="CL205" i="8"/>
  <c r="DP204" i="8"/>
  <c r="CK205" i="8"/>
  <c r="DM204" i="8"/>
  <c r="CJ205" i="8"/>
  <c r="DJ204" i="8"/>
  <c r="CP204" i="8"/>
  <c r="DV204" i="8" s="1"/>
  <c r="DS206" i="8" l="1"/>
  <c r="CM207" i="8"/>
  <c r="DJ205" i="8"/>
  <c r="CJ206" i="8"/>
  <c r="CP205" i="8"/>
  <c r="DV205" i="8" s="1"/>
  <c r="DM205" i="8"/>
  <c r="CK206" i="8"/>
  <c r="DP205" i="8"/>
  <c r="CL206" i="8"/>
  <c r="CJ207" i="8" l="1"/>
  <c r="DJ206" i="8"/>
  <c r="CP206" i="8"/>
  <c r="DV206" i="8" s="1"/>
  <c r="CM208" i="8"/>
  <c r="DS207" i="8"/>
  <c r="DP206" i="8"/>
  <c r="CL207" i="8"/>
  <c r="DM206" i="8"/>
  <c r="CK207" i="8"/>
  <c r="CP207" i="8" l="1"/>
  <c r="DV207" i="8" s="1"/>
  <c r="CK208" i="8"/>
  <c r="DM207" i="8"/>
  <c r="CM209" i="8"/>
  <c r="DS208" i="8"/>
  <c r="CL208" i="8"/>
  <c r="DP207" i="8"/>
  <c r="CJ208" i="8"/>
  <c r="DJ207" i="8"/>
  <c r="DJ208" i="8" l="1"/>
  <c r="CJ209" i="8"/>
  <c r="CP208" i="8"/>
  <c r="DV208" i="8" s="1"/>
  <c r="CL209" i="8"/>
  <c r="DP208" i="8"/>
  <c r="DS209" i="8"/>
  <c r="CM210" i="8"/>
  <c r="CK209" i="8"/>
  <c r="DM208" i="8"/>
  <c r="CM211" i="8" l="1"/>
  <c r="DS210" i="8"/>
  <c r="DM209" i="8"/>
  <c r="CK210" i="8"/>
  <c r="DP209" i="8"/>
  <c r="CL210" i="8"/>
  <c r="CJ210" i="8"/>
  <c r="DJ209" i="8"/>
  <c r="CP209" i="8"/>
  <c r="DV209" i="8" s="1"/>
  <c r="CL211" i="8" l="1"/>
  <c r="DP210" i="8"/>
  <c r="CK211" i="8"/>
  <c r="DM210" i="8"/>
  <c r="CJ211" i="8"/>
  <c r="DJ210" i="8"/>
  <c r="CP210" i="8"/>
  <c r="DV210" i="8" s="1"/>
  <c r="DS211" i="8"/>
  <c r="CM212" i="8"/>
  <c r="CM213" i="8" l="1"/>
  <c r="DS212" i="8"/>
  <c r="DJ211" i="8"/>
  <c r="CJ212" i="8"/>
  <c r="CP211" i="8"/>
  <c r="DV211" i="8" s="1"/>
  <c r="DM211" i="8"/>
  <c r="CK212" i="8"/>
  <c r="DP211" i="8"/>
  <c r="CL212" i="8"/>
  <c r="CL213" i="8" l="1"/>
  <c r="DP212" i="8"/>
  <c r="CK213" i="8"/>
  <c r="DM212" i="8"/>
  <c r="CJ213" i="8"/>
  <c r="DJ212" i="8"/>
  <c r="CP212" i="8"/>
  <c r="DV212" i="8" s="1"/>
  <c r="CM214" i="8"/>
  <c r="DS213" i="8"/>
  <c r="DJ213" i="8" l="1"/>
  <c r="CJ214" i="8"/>
  <c r="CP213" i="8"/>
  <c r="DV213" i="8" s="1"/>
  <c r="CK214" i="8"/>
  <c r="DM213" i="8"/>
  <c r="CL214" i="8"/>
  <c r="DP213" i="8"/>
  <c r="DS214" i="8"/>
  <c r="CM215" i="8"/>
  <c r="CM216" i="8" l="1"/>
  <c r="DS215" i="8"/>
  <c r="DP214" i="8"/>
  <c r="CL215" i="8"/>
  <c r="CK215" i="8"/>
  <c r="DM214" i="8"/>
  <c r="CJ215" i="8"/>
  <c r="DJ214" i="8"/>
  <c r="CP214" i="8"/>
  <c r="DV214" i="8" s="1"/>
  <c r="CJ216" i="8" l="1"/>
  <c r="DJ215" i="8"/>
  <c r="CP215" i="8"/>
  <c r="DV215" i="8" s="1"/>
  <c r="CK216" i="8"/>
  <c r="DM215" i="8"/>
  <c r="CL216" i="8"/>
  <c r="DP215" i="8"/>
  <c r="DS216" i="8"/>
  <c r="CM217" i="8"/>
  <c r="DS217" i="8" l="1"/>
  <c r="CM218" i="8"/>
  <c r="DJ216" i="8"/>
  <c r="CJ217" i="8"/>
  <c r="CP216" i="8"/>
  <c r="DV216" i="8" s="1"/>
  <c r="DP216" i="8"/>
  <c r="CL217" i="8"/>
  <c r="DM216" i="8"/>
  <c r="CK217" i="8"/>
  <c r="CJ218" i="8" l="1"/>
  <c r="DJ217" i="8"/>
  <c r="CP217" i="8"/>
  <c r="DV217" i="8" s="1"/>
  <c r="DS218" i="8"/>
  <c r="CM219" i="8"/>
  <c r="CK218" i="8"/>
  <c r="DM217" i="8"/>
  <c r="DP217" i="8"/>
  <c r="CL218" i="8"/>
  <c r="DM218" i="8" l="1"/>
  <c r="CK219" i="8"/>
  <c r="DP218" i="8"/>
  <c r="CL219" i="8"/>
  <c r="DS219" i="8"/>
  <c r="CM220" i="8"/>
  <c r="CJ219" i="8"/>
  <c r="DJ218" i="8"/>
  <c r="CP218" i="8"/>
  <c r="DV218" i="8" s="1"/>
  <c r="CM221" i="8" l="1"/>
  <c r="DS220" i="8"/>
  <c r="DP219" i="8"/>
  <c r="CL220" i="8"/>
  <c r="DM219" i="8"/>
  <c r="CK220" i="8"/>
  <c r="DJ219" i="8"/>
  <c r="CJ220" i="8"/>
  <c r="CP219" i="8"/>
  <c r="DV219" i="8" s="1"/>
  <c r="CJ221" i="8" l="1"/>
  <c r="DJ220" i="8"/>
  <c r="CP220" i="8"/>
  <c r="DV220" i="8" s="1"/>
  <c r="CK221" i="8"/>
  <c r="DM220" i="8"/>
  <c r="CL221" i="8"/>
  <c r="DP220" i="8"/>
  <c r="DS221" i="8"/>
  <c r="CM222" i="8"/>
  <c r="DP221" i="8" l="1"/>
  <c r="CL222" i="8"/>
  <c r="CK222" i="8"/>
  <c r="DM221" i="8"/>
  <c r="CM223" i="8"/>
  <c r="DS222" i="8"/>
  <c r="DJ221" i="8"/>
  <c r="CJ222" i="8"/>
  <c r="CP221" i="8"/>
  <c r="DV221" i="8" s="1"/>
  <c r="DJ222" i="8" l="1"/>
  <c r="CJ223" i="8"/>
  <c r="CP222" i="8"/>
  <c r="DV222" i="8" s="1"/>
  <c r="CL223" i="8"/>
  <c r="DP222" i="8"/>
  <c r="CM224" i="8"/>
  <c r="DS223" i="8"/>
  <c r="CK223" i="8"/>
  <c r="DM222" i="8"/>
  <c r="CK224" i="8" l="1"/>
  <c r="DM223" i="8"/>
  <c r="DS224" i="8"/>
  <c r="CM225" i="8"/>
  <c r="DP223" i="8"/>
  <c r="CL224" i="8"/>
  <c r="CJ224" i="8"/>
  <c r="DJ223" i="8"/>
  <c r="CP223" i="8"/>
  <c r="DV223" i="8" s="1"/>
  <c r="CL225" i="8" l="1"/>
  <c r="DP224" i="8"/>
  <c r="CM226" i="8"/>
  <c r="DS225" i="8"/>
  <c r="CJ225" i="8"/>
  <c r="DJ224" i="8"/>
  <c r="CP224" i="8"/>
  <c r="DV224" i="8" s="1"/>
  <c r="CK225" i="8"/>
  <c r="DM224" i="8"/>
  <c r="CK226" i="8" l="1"/>
  <c r="DM225" i="8"/>
  <c r="CJ226" i="8"/>
  <c r="DJ225" i="8"/>
  <c r="CP225" i="8"/>
  <c r="DV225" i="8" s="1"/>
  <c r="CM227" i="8"/>
  <c r="DS226" i="8"/>
  <c r="CL226" i="8"/>
  <c r="DP225" i="8"/>
  <c r="CL227" i="8" l="1"/>
  <c r="DP226" i="8"/>
  <c r="DS227" i="8"/>
  <c r="CM228" i="8"/>
  <c r="CJ227" i="8"/>
  <c r="DJ226" i="8"/>
  <c r="CP226" i="8"/>
  <c r="DV226" i="8" s="1"/>
  <c r="CK227" i="8"/>
  <c r="DM226" i="8"/>
  <c r="DM227" i="8" l="1"/>
  <c r="CK228" i="8"/>
  <c r="DS228" i="8"/>
  <c r="CM229" i="8"/>
  <c r="CJ228" i="8"/>
  <c r="DJ227" i="8"/>
  <c r="CP227" i="8"/>
  <c r="DV227" i="8" s="1"/>
  <c r="DP227" i="8"/>
  <c r="CL228" i="8"/>
  <c r="DP228" i="8" l="1"/>
  <c r="CL229" i="8"/>
  <c r="CM230" i="8"/>
  <c r="DS229" i="8"/>
  <c r="DM228" i="8"/>
  <c r="CK229" i="8"/>
  <c r="DJ228" i="8"/>
  <c r="CJ229" i="8"/>
  <c r="CP228" i="8"/>
  <c r="DV228" i="8" s="1"/>
  <c r="CL230" i="8" l="1"/>
  <c r="DP229" i="8"/>
  <c r="DJ229" i="8"/>
  <c r="CJ230" i="8"/>
  <c r="CP229" i="8"/>
  <c r="DV229" i="8" s="1"/>
  <c r="CK230" i="8"/>
  <c r="DM229" i="8"/>
  <c r="DS230" i="8"/>
  <c r="CM231" i="8"/>
  <c r="CM232" i="8" l="1"/>
  <c r="DS231" i="8"/>
  <c r="DM230" i="8"/>
  <c r="CK231" i="8"/>
  <c r="CJ231" i="8"/>
  <c r="DJ230" i="8"/>
  <c r="CP230" i="8"/>
  <c r="DV230" i="8" s="1"/>
  <c r="DP230" i="8"/>
  <c r="CL231" i="8"/>
  <c r="CK232" i="8" l="1"/>
  <c r="DM231" i="8"/>
  <c r="CL232" i="8"/>
  <c r="DP231" i="8"/>
  <c r="CJ232" i="8"/>
  <c r="DJ231" i="8"/>
  <c r="CP231" i="8"/>
  <c r="DV231" i="8" s="1"/>
  <c r="DS232" i="8"/>
  <c r="CM233" i="8"/>
  <c r="CM234" i="8" l="1"/>
  <c r="DS233" i="8"/>
  <c r="CJ233" i="8"/>
  <c r="DJ232" i="8"/>
  <c r="CP232" i="8"/>
  <c r="DV232" i="8" s="1"/>
  <c r="DP232" i="8"/>
  <c r="CL233" i="8"/>
  <c r="DM232" i="8"/>
  <c r="CK233" i="8"/>
  <c r="CK234" i="8" l="1"/>
  <c r="DM233" i="8"/>
  <c r="CL234" i="8"/>
  <c r="DP233" i="8"/>
  <c r="CJ234" i="8"/>
  <c r="DJ233" i="8"/>
  <c r="CP233" i="8"/>
  <c r="DV233" i="8" s="1"/>
  <c r="DS234" i="8"/>
  <c r="CM235" i="8"/>
  <c r="CM236" i="8" l="1"/>
  <c r="DS235" i="8"/>
  <c r="CJ235" i="8"/>
  <c r="DJ234" i="8"/>
  <c r="CP234" i="8"/>
  <c r="DV234" i="8" s="1"/>
  <c r="DP234" i="8"/>
  <c r="CL235" i="8"/>
  <c r="DM234" i="8"/>
  <c r="CK235" i="8"/>
  <c r="CK236" i="8" l="1"/>
  <c r="DM235" i="8"/>
  <c r="CL236" i="8"/>
  <c r="DP235" i="8"/>
  <c r="CJ236" i="8"/>
  <c r="DJ235" i="8"/>
  <c r="CP235" i="8"/>
  <c r="DV235" i="8" s="1"/>
  <c r="CM237" i="8"/>
  <c r="DS236" i="8"/>
  <c r="DS237" i="8" l="1"/>
  <c r="CM238" i="8"/>
  <c r="DJ236" i="8"/>
  <c r="CJ237" i="8"/>
  <c r="CP236" i="8"/>
  <c r="DV236" i="8" s="1"/>
  <c r="CL237" i="8"/>
  <c r="DP236" i="8"/>
  <c r="CK237" i="8"/>
  <c r="DM236" i="8"/>
  <c r="CK238" i="8" l="1"/>
  <c r="DM237" i="8"/>
  <c r="DP237" i="8"/>
  <c r="CL238" i="8"/>
  <c r="CJ238" i="8"/>
  <c r="DJ237" i="8"/>
  <c r="CP237" i="8"/>
  <c r="DV237" i="8" s="1"/>
  <c r="CM239" i="8"/>
  <c r="DS238" i="8"/>
  <c r="CM240" i="8" l="1"/>
  <c r="DS239" i="8"/>
  <c r="CL239" i="8"/>
  <c r="DP238" i="8"/>
  <c r="DJ238" i="8"/>
  <c r="CJ239" i="8"/>
  <c r="CP238" i="8"/>
  <c r="DV238" i="8" s="1"/>
  <c r="CK239" i="8"/>
  <c r="DM238" i="8"/>
  <c r="CK240" i="8" l="1"/>
  <c r="DM239" i="8"/>
  <c r="DJ239" i="8"/>
  <c r="CJ240" i="8"/>
  <c r="CP239" i="8"/>
  <c r="DV239" i="8" s="1"/>
  <c r="CL240" i="8"/>
  <c r="DP239" i="8"/>
  <c r="CM241" i="8"/>
  <c r="DS240" i="8"/>
  <c r="CM242" i="8" l="1"/>
  <c r="DS241" i="8"/>
  <c r="CL241" i="8"/>
  <c r="DP240" i="8"/>
  <c r="DJ240" i="8"/>
  <c r="CJ241" i="8"/>
  <c r="CP240" i="8"/>
  <c r="DV240" i="8" s="1"/>
  <c r="CK241" i="8"/>
  <c r="DM240" i="8"/>
  <c r="CK242" i="8" l="1"/>
  <c r="DM241" i="8"/>
  <c r="CJ242" i="8"/>
  <c r="DJ241" i="8"/>
  <c r="CP241" i="8"/>
  <c r="DV241" i="8" s="1"/>
  <c r="CL242" i="8"/>
  <c r="DP241" i="8"/>
  <c r="CM243" i="8"/>
  <c r="DS242" i="8"/>
  <c r="CM244" i="8" l="1"/>
  <c r="DS243" i="8"/>
  <c r="CL243" i="8"/>
  <c r="DP242" i="8"/>
  <c r="DJ242" i="8"/>
  <c r="CJ243" i="8"/>
  <c r="CP242" i="8"/>
  <c r="DV242" i="8" s="1"/>
  <c r="CK243" i="8"/>
  <c r="DM242" i="8"/>
  <c r="CK244" i="8" l="1"/>
  <c r="DM243" i="8"/>
  <c r="CJ244" i="8"/>
  <c r="DJ243" i="8"/>
  <c r="CP243" i="8"/>
  <c r="DV243" i="8" s="1"/>
  <c r="CL244" i="8"/>
  <c r="DP243" i="8"/>
  <c r="CM245" i="8"/>
  <c r="DS244" i="8"/>
  <c r="CM246" i="8" l="1"/>
  <c r="DS245" i="8"/>
  <c r="CL245" i="8"/>
  <c r="DP244" i="8"/>
  <c r="DJ244" i="8"/>
  <c r="CJ245" i="8"/>
  <c r="CP244" i="8"/>
  <c r="DV244" i="8" s="1"/>
  <c r="CK245" i="8"/>
  <c r="DM244" i="8"/>
  <c r="CK246" i="8" l="1"/>
  <c r="DM245" i="8"/>
  <c r="CJ246" i="8"/>
  <c r="DJ245" i="8"/>
  <c r="CP245" i="8"/>
  <c r="DV245" i="8" s="1"/>
  <c r="CL246" i="8"/>
  <c r="DP245" i="8"/>
  <c r="CM247" i="8"/>
  <c r="DS246" i="8"/>
  <c r="CL247" i="8" l="1"/>
  <c r="DP246" i="8"/>
  <c r="CM248" i="8"/>
  <c r="DS247" i="8"/>
  <c r="DJ246" i="8"/>
  <c r="CJ247" i="8"/>
  <c r="CP246" i="8"/>
  <c r="DV246" i="8" s="1"/>
  <c r="CK247" i="8"/>
  <c r="DM246" i="8"/>
  <c r="CK248" i="8" l="1"/>
  <c r="DM247" i="8"/>
  <c r="CJ248" i="8"/>
  <c r="DJ247" i="8"/>
  <c r="CP247" i="8"/>
  <c r="DV247" i="8" s="1"/>
  <c r="CM249" i="8"/>
  <c r="DS248" i="8"/>
  <c r="DP247" i="8"/>
  <c r="CL248" i="8"/>
  <c r="CM250" i="8" l="1"/>
  <c r="DS249" i="8"/>
  <c r="CL249" i="8"/>
  <c r="DP248" i="8"/>
  <c r="DJ248" i="8"/>
  <c r="CJ249" i="8"/>
  <c r="CP248" i="8"/>
  <c r="DV248" i="8" s="1"/>
  <c r="CK249" i="8"/>
  <c r="DM248" i="8"/>
  <c r="CK250" i="8" l="1"/>
  <c r="DM249" i="8"/>
  <c r="CJ250" i="8"/>
  <c r="DJ249" i="8"/>
  <c r="CP249" i="8"/>
  <c r="DV249" i="8" s="1"/>
  <c r="CL250" i="8"/>
  <c r="DP249" i="8"/>
  <c r="CM251" i="8"/>
  <c r="DS250" i="8"/>
  <c r="CM252" i="8" l="1"/>
  <c r="DS251" i="8"/>
  <c r="CL251" i="8"/>
  <c r="DP250" i="8"/>
  <c r="CJ251" i="8"/>
  <c r="DJ250" i="8"/>
  <c r="CP250" i="8"/>
  <c r="DV250" i="8" s="1"/>
  <c r="CK251" i="8"/>
  <c r="DM250" i="8"/>
  <c r="CK252" i="8" l="1"/>
  <c r="DM251" i="8"/>
  <c r="CJ252" i="8"/>
  <c r="DJ251" i="8"/>
  <c r="CP251" i="8"/>
  <c r="DV251" i="8" s="1"/>
  <c r="CL252" i="8"/>
  <c r="DP251" i="8"/>
  <c r="CM253" i="8"/>
  <c r="DS252" i="8"/>
  <c r="DJ252" i="8" l="1"/>
  <c r="CJ253" i="8"/>
  <c r="CP252" i="8"/>
  <c r="DV252" i="8" s="1"/>
  <c r="DM252" i="8"/>
  <c r="CK253" i="8"/>
  <c r="CM254" i="8"/>
  <c r="DS253" i="8"/>
  <c r="DP252" i="8"/>
  <c r="CL253" i="8"/>
  <c r="CL254" i="8" l="1"/>
  <c r="DP253" i="8"/>
  <c r="CK254" i="8"/>
  <c r="DM253" i="8"/>
  <c r="DS254" i="8"/>
  <c r="CM255" i="8"/>
  <c r="CJ254" i="8"/>
  <c r="DJ253" i="8"/>
  <c r="CP253" i="8"/>
  <c r="DV253" i="8" s="1"/>
  <c r="DS255" i="8" l="1"/>
  <c r="CM256" i="8"/>
  <c r="DJ254" i="8"/>
  <c r="CJ255" i="8"/>
  <c r="CP254" i="8"/>
  <c r="DV254" i="8" s="1"/>
  <c r="DM254" i="8"/>
  <c r="CK255" i="8"/>
  <c r="DP254" i="8"/>
  <c r="CL255" i="8"/>
  <c r="DP255" i="8" l="1"/>
  <c r="CL256" i="8"/>
  <c r="CK256" i="8"/>
  <c r="DM255" i="8"/>
  <c r="CJ256" i="8"/>
  <c r="DJ255" i="8"/>
  <c r="CP255" i="8"/>
  <c r="DV255" i="8" s="1"/>
  <c r="CM257" i="8"/>
  <c r="DS256" i="8"/>
  <c r="DS257" i="8" l="1"/>
  <c r="CM258" i="8"/>
  <c r="CL257" i="8"/>
  <c r="DP256" i="8"/>
  <c r="DJ256" i="8"/>
  <c r="CJ257" i="8"/>
  <c r="CP256" i="8"/>
  <c r="DV256" i="8" s="1"/>
  <c r="CK257" i="8"/>
  <c r="DM256" i="8"/>
  <c r="CK258" i="8" l="1"/>
  <c r="DM257" i="8"/>
  <c r="DJ257" i="8"/>
  <c r="CJ258" i="8"/>
  <c r="CP257" i="8"/>
  <c r="DV257" i="8" s="1"/>
  <c r="CM259" i="8"/>
  <c r="DS258" i="8"/>
  <c r="DP257" i="8"/>
  <c r="CL258" i="8"/>
  <c r="CL259" i="8" l="1"/>
  <c r="DP258" i="8"/>
  <c r="CM260" i="8"/>
  <c r="DS259" i="8"/>
  <c r="DJ258" i="8"/>
  <c r="CJ259" i="8"/>
  <c r="CP258" i="8"/>
  <c r="DV258" i="8" s="1"/>
  <c r="CK259" i="8"/>
  <c r="DM258" i="8"/>
  <c r="CK260" i="8" l="1"/>
  <c r="DM259" i="8"/>
  <c r="DJ259" i="8"/>
  <c r="CJ260" i="8"/>
  <c r="CP259" i="8"/>
  <c r="DV259" i="8" s="1"/>
  <c r="DS260" i="8"/>
  <c r="CM261" i="8"/>
  <c r="CL260" i="8"/>
  <c r="DP259" i="8"/>
  <c r="DP260" i="8" l="1"/>
  <c r="CL261" i="8"/>
  <c r="DJ260" i="8"/>
  <c r="CJ261" i="8"/>
  <c r="CP260" i="8"/>
  <c r="DV260" i="8" s="1"/>
  <c r="CM262" i="8"/>
  <c r="DS261" i="8"/>
  <c r="DM260" i="8"/>
  <c r="CK261" i="8"/>
  <c r="DS262" i="8" l="1"/>
  <c r="CM263" i="8"/>
  <c r="DJ261" i="8"/>
  <c r="CJ262" i="8"/>
  <c r="CP261" i="8"/>
  <c r="DV261" i="8" s="1"/>
  <c r="DP261" i="8"/>
  <c r="CL262" i="8"/>
  <c r="CK262" i="8"/>
  <c r="DM261" i="8"/>
  <c r="CK263" i="8" l="1"/>
  <c r="DM262" i="8"/>
  <c r="CJ263" i="8"/>
  <c r="DJ262" i="8"/>
  <c r="CP262" i="8"/>
  <c r="DV262" i="8" s="1"/>
  <c r="CM264" i="8"/>
  <c r="DS263" i="8"/>
  <c r="CL263" i="8"/>
  <c r="DP262" i="8"/>
  <c r="CL264" i="8" l="1"/>
  <c r="DP263" i="8"/>
  <c r="DS264" i="8"/>
  <c r="CM265" i="8"/>
  <c r="CJ264" i="8"/>
  <c r="DJ263" i="8"/>
  <c r="CP263" i="8"/>
  <c r="DV263" i="8" s="1"/>
  <c r="CK264" i="8"/>
  <c r="DM263" i="8"/>
  <c r="CK265" i="8" l="1"/>
  <c r="DM264" i="8"/>
  <c r="CM266" i="8"/>
  <c r="DS265" i="8"/>
  <c r="DJ264" i="8"/>
  <c r="CJ265" i="8"/>
  <c r="CP264" i="8"/>
  <c r="DV264" i="8" s="1"/>
  <c r="DP264" i="8"/>
  <c r="CL265" i="8"/>
  <c r="CJ266" i="8" l="1"/>
  <c r="DJ265" i="8"/>
  <c r="CP265" i="8"/>
  <c r="DV265" i="8" s="1"/>
  <c r="CL266" i="8"/>
  <c r="DP265" i="8"/>
  <c r="DS266" i="8"/>
  <c r="CM267" i="8"/>
  <c r="CK266" i="8"/>
  <c r="DM265" i="8"/>
  <c r="CK267" i="8" l="1"/>
  <c r="DM266" i="8"/>
  <c r="DP266" i="8"/>
  <c r="CL267" i="8"/>
  <c r="CM268" i="8"/>
  <c r="DS267" i="8"/>
  <c r="DJ266" i="8"/>
  <c r="CJ267" i="8"/>
  <c r="CP266" i="8"/>
  <c r="DV266" i="8" s="1"/>
  <c r="CJ268" i="8" l="1"/>
  <c r="DJ267" i="8"/>
  <c r="CP267" i="8"/>
  <c r="DV267" i="8" s="1"/>
  <c r="CL268" i="8"/>
  <c r="DP267" i="8"/>
  <c r="DS268" i="8"/>
  <c r="CM269" i="8"/>
  <c r="CK268" i="8"/>
  <c r="DM267" i="8"/>
  <c r="CK269" i="8" l="1"/>
  <c r="DM268" i="8"/>
  <c r="DP268" i="8"/>
  <c r="CL269" i="8"/>
  <c r="CM270" i="8"/>
  <c r="DS269" i="8"/>
  <c r="CJ269" i="8"/>
  <c r="DJ268" i="8"/>
  <c r="CP268" i="8"/>
  <c r="DV268" i="8" s="1"/>
  <c r="CL270" i="8" l="1"/>
  <c r="DP269" i="8"/>
  <c r="CJ270" i="8"/>
  <c r="DJ269" i="8"/>
  <c r="CP269" i="8"/>
  <c r="DV269" i="8" s="1"/>
  <c r="DS270" i="8"/>
  <c r="CM271" i="8"/>
  <c r="CK270" i="8"/>
  <c r="DM269" i="8"/>
  <c r="CK271" i="8" l="1"/>
  <c r="DM270" i="8"/>
  <c r="CM272" i="8"/>
  <c r="DS271" i="8"/>
  <c r="CJ271" i="8"/>
  <c r="DJ270" i="8"/>
  <c r="CP270" i="8"/>
  <c r="DV270" i="8" s="1"/>
  <c r="DP270" i="8"/>
  <c r="CL271" i="8"/>
  <c r="CL272" i="8" l="1"/>
  <c r="DP271" i="8"/>
  <c r="CJ272" i="8"/>
  <c r="DJ271" i="8"/>
  <c r="CP271" i="8"/>
  <c r="DV271" i="8" s="1"/>
  <c r="DS272" i="8"/>
  <c r="CM273" i="8"/>
  <c r="CK272" i="8"/>
  <c r="DM271" i="8"/>
  <c r="DM272" i="8" l="1"/>
  <c r="CK273" i="8"/>
  <c r="CM274" i="8"/>
  <c r="DS273" i="8"/>
  <c r="CJ273" i="8"/>
  <c r="DJ272" i="8"/>
  <c r="CP272" i="8"/>
  <c r="DV272" i="8" s="1"/>
  <c r="DP272" i="8"/>
  <c r="CL273" i="8"/>
  <c r="CK274" i="8" l="1"/>
  <c r="DM273" i="8"/>
  <c r="CL274" i="8"/>
  <c r="DP273" i="8"/>
  <c r="DJ273" i="8"/>
  <c r="CJ274" i="8"/>
  <c r="CP273" i="8"/>
  <c r="DV273" i="8" s="1"/>
  <c r="DS274" i="8"/>
  <c r="CM275" i="8"/>
  <c r="DJ274" i="8" l="1"/>
  <c r="CJ275" i="8"/>
  <c r="CP274" i="8"/>
  <c r="DV274" i="8" s="1"/>
  <c r="CM276" i="8"/>
  <c r="DS275" i="8"/>
  <c r="DP274" i="8"/>
  <c r="CL275" i="8"/>
  <c r="CK275" i="8"/>
  <c r="DM274" i="8"/>
  <c r="CK276" i="8" l="1"/>
  <c r="DM275" i="8"/>
  <c r="DS276" i="8"/>
  <c r="CM277" i="8"/>
  <c r="CJ276" i="8"/>
  <c r="DJ275" i="8"/>
  <c r="CP275" i="8"/>
  <c r="DV275" i="8" s="1"/>
  <c r="CL276" i="8"/>
  <c r="DP275" i="8"/>
  <c r="DP276" i="8" l="1"/>
  <c r="CL277" i="8"/>
  <c r="CM278" i="8"/>
  <c r="DS277" i="8"/>
  <c r="CJ277" i="8"/>
  <c r="DJ276" i="8"/>
  <c r="CP276" i="8"/>
  <c r="DV276" i="8" s="1"/>
  <c r="CK277" i="8"/>
  <c r="DM276" i="8"/>
  <c r="CK278" i="8" l="1"/>
  <c r="DM277" i="8"/>
  <c r="CL278" i="8"/>
  <c r="DP277" i="8"/>
  <c r="CJ278" i="8"/>
  <c r="DJ277" i="8"/>
  <c r="CP277" i="8"/>
  <c r="DV277" i="8" s="1"/>
  <c r="DS278" i="8"/>
  <c r="CM279" i="8"/>
  <c r="CM280" i="8" l="1"/>
  <c r="DS279" i="8"/>
  <c r="CJ279" i="8"/>
  <c r="DJ278" i="8"/>
  <c r="CP278" i="8"/>
  <c r="DV278" i="8" s="1"/>
  <c r="DP278" i="8"/>
  <c r="CL279" i="8"/>
  <c r="CK279" i="8"/>
  <c r="DM278" i="8"/>
  <c r="CK280" i="8" l="1"/>
  <c r="DM279" i="8"/>
  <c r="CL280" i="8"/>
  <c r="DP279" i="8"/>
  <c r="DJ279" i="8"/>
  <c r="CJ280" i="8"/>
  <c r="CP279" i="8"/>
  <c r="DV279" i="8" s="1"/>
  <c r="DS280" i="8"/>
  <c r="CM281" i="8"/>
  <c r="CJ281" i="8" l="1"/>
  <c r="DJ280" i="8"/>
  <c r="CP280" i="8"/>
  <c r="DV280" i="8" s="1"/>
  <c r="CM282" i="8"/>
  <c r="DS281" i="8"/>
  <c r="DP280" i="8"/>
  <c r="CL281" i="8"/>
  <c r="CK281" i="8"/>
  <c r="DM280" i="8"/>
  <c r="CK282" i="8" l="1"/>
  <c r="DM281" i="8"/>
  <c r="DS282" i="8"/>
  <c r="CM283" i="8"/>
  <c r="CL282" i="8"/>
  <c r="DP281" i="8"/>
  <c r="CJ282" i="8"/>
  <c r="DJ281" i="8"/>
  <c r="CP281" i="8"/>
  <c r="DV281" i="8" s="1"/>
  <c r="CM284" i="8" l="1"/>
  <c r="DS283" i="8"/>
  <c r="CJ283" i="8"/>
  <c r="DJ282" i="8"/>
  <c r="CP282" i="8"/>
  <c r="DV282" i="8" s="1"/>
  <c r="DP282" i="8"/>
  <c r="CL283" i="8"/>
  <c r="CK283" i="8"/>
  <c r="DM282" i="8"/>
  <c r="CK284" i="8" l="1"/>
  <c r="DM283" i="8"/>
  <c r="CL284" i="8"/>
  <c r="DP283" i="8"/>
  <c r="CJ284" i="8"/>
  <c r="DJ283" i="8"/>
  <c r="CP283" i="8"/>
  <c r="DV283" i="8" s="1"/>
  <c r="DS284" i="8"/>
  <c r="CM285" i="8"/>
  <c r="CM286" i="8" l="1"/>
  <c r="DS285" i="8"/>
  <c r="CJ285" i="8"/>
  <c r="DJ284" i="8"/>
  <c r="CP284" i="8"/>
  <c r="DV284" i="8" s="1"/>
  <c r="DP284" i="8"/>
  <c r="CL285" i="8"/>
  <c r="DM284" i="8"/>
  <c r="CK285" i="8"/>
  <c r="CK286" i="8" l="1"/>
  <c r="DM285" i="8"/>
  <c r="CL286" i="8"/>
  <c r="DP285" i="8"/>
  <c r="CJ286" i="8"/>
  <c r="DJ285" i="8"/>
  <c r="CP285" i="8"/>
  <c r="DV285" i="8" s="1"/>
  <c r="DS286" i="8"/>
  <c r="CM287" i="8"/>
  <c r="CZ5" i="8"/>
  <c r="DB5" i="8" s="1"/>
  <c r="DC5" i="8" s="1"/>
  <c r="DD5" i="8" s="1"/>
  <c r="DE5" i="8" s="1"/>
  <c r="CM288" i="8" l="1"/>
  <c r="DS287" i="8"/>
  <c r="CJ287" i="8"/>
  <c r="DJ286" i="8"/>
  <c r="CP286" i="8"/>
  <c r="DV286" i="8" s="1"/>
  <c r="DP286" i="8"/>
  <c r="CL287" i="8"/>
  <c r="DM286" i="8"/>
  <c r="CK287" i="8"/>
  <c r="DM287" i="8" l="1"/>
  <c r="CK288" i="8"/>
  <c r="CL288" i="8"/>
  <c r="DP287" i="8"/>
  <c r="CJ288" i="8"/>
  <c r="DJ287" i="8"/>
  <c r="CP287" i="8"/>
  <c r="DV287" i="8" s="1"/>
  <c r="DS288" i="8"/>
  <c r="CM289" i="8"/>
  <c r="DM288" i="8" l="1"/>
  <c r="CK289" i="8"/>
  <c r="CM290" i="8"/>
  <c r="DS289" i="8"/>
  <c r="CJ289" i="8"/>
  <c r="DJ288" i="8"/>
  <c r="CP288" i="8"/>
  <c r="DV288" i="8" s="1"/>
  <c r="DP288" i="8"/>
  <c r="CL289" i="8"/>
  <c r="DM289" i="8" l="1"/>
  <c r="CK290" i="8"/>
  <c r="CL290" i="8"/>
  <c r="DP289" i="8"/>
  <c r="CJ290" i="8"/>
  <c r="DJ289" i="8"/>
  <c r="CP289" i="8"/>
  <c r="DV289" i="8" s="1"/>
  <c r="DS290" i="8"/>
  <c r="CM291" i="8"/>
  <c r="DM290" i="8" l="1"/>
  <c r="CK291" i="8"/>
  <c r="CM292" i="8"/>
  <c r="DS291" i="8"/>
  <c r="CJ291" i="8"/>
  <c r="DJ290" i="8"/>
  <c r="CP290" i="8"/>
  <c r="DV290" i="8" s="1"/>
  <c r="DP290" i="8"/>
  <c r="CL291" i="8"/>
  <c r="DM291" i="8" l="1"/>
  <c r="CK292" i="8"/>
  <c r="CL292" i="8"/>
  <c r="DP291" i="8"/>
  <c r="CJ292" i="8"/>
  <c r="DJ291" i="8"/>
  <c r="CP291" i="8"/>
  <c r="DV291" i="8" s="1"/>
  <c r="DS292" i="8"/>
  <c r="CM293" i="8"/>
  <c r="DM292" i="8" l="1"/>
  <c r="CK293" i="8"/>
  <c r="CM294" i="8"/>
  <c r="DS293" i="8"/>
  <c r="CJ293" i="8"/>
  <c r="DJ292" i="8"/>
  <c r="CP292" i="8"/>
  <c r="DV292" i="8" s="1"/>
  <c r="DP292" i="8"/>
  <c r="CL293" i="8"/>
  <c r="DM293" i="8" l="1"/>
  <c r="CK294" i="8"/>
  <c r="CL294" i="8"/>
  <c r="DP293" i="8"/>
  <c r="CJ294" i="8"/>
  <c r="DJ293" i="8"/>
  <c r="CP293" i="8"/>
  <c r="DV293" i="8" s="1"/>
  <c r="DS294" i="8"/>
  <c r="CM295" i="8"/>
  <c r="DM294" i="8" l="1"/>
  <c r="CK295" i="8"/>
  <c r="CM296" i="8"/>
  <c r="DS295" i="8"/>
  <c r="CJ295" i="8"/>
  <c r="DJ294" i="8"/>
  <c r="CP294" i="8"/>
  <c r="DV294" i="8" s="1"/>
  <c r="DP294" i="8"/>
  <c r="CL295" i="8"/>
  <c r="DM295" i="8" l="1"/>
  <c r="CK296" i="8"/>
  <c r="CL296" i="8"/>
  <c r="DP295" i="8"/>
  <c r="CJ296" i="8"/>
  <c r="DJ295" i="8"/>
  <c r="CP295" i="8"/>
  <c r="DV295" i="8" s="1"/>
  <c r="DS296" i="8"/>
  <c r="CM297" i="8"/>
  <c r="DM296" i="8" l="1"/>
  <c r="CK297" i="8"/>
  <c r="CM298" i="8"/>
  <c r="DS297" i="8"/>
  <c r="CJ297" i="8"/>
  <c r="DJ296" i="8"/>
  <c r="CP296" i="8"/>
  <c r="DV296" i="8" s="1"/>
  <c r="DP296" i="8"/>
  <c r="CL297" i="8"/>
  <c r="DM297" i="8" l="1"/>
  <c r="CK298" i="8"/>
  <c r="CL298" i="8"/>
  <c r="DP297" i="8"/>
  <c r="CJ298" i="8"/>
  <c r="DJ297" i="8"/>
  <c r="CP297" i="8"/>
  <c r="DV297" i="8" s="1"/>
  <c r="DS298" i="8"/>
  <c r="CM299" i="8"/>
  <c r="DM298" i="8" l="1"/>
  <c r="CK299" i="8"/>
  <c r="CM300" i="8"/>
  <c r="DS299" i="8"/>
  <c r="CJ299" i="8"/>
  <c r="DJ298" i="8"/>
  <c r="CP298" i="8"/>
  <c r="DV298" i="8" s="1"/>
  <c r="DP298" i="8"/>
  <c r="CL299" i="8"/>
  <c r="DM299" i="8" l="1"/>
  <c r="CK300" i="8"/>
  <c r="CL300" i="8"/>
  <c r="DP299" i="8"/>
  <c r="CJ300" i="8"/>
  <c r="DJ299" i="8"/>
  <c r="CP299" i="8"/>
  <c r="DV299" i="8" s="1"/>
  <c r="DS300" i="8"/>
  <c r="CM301" i="8"/>
  <c r="DM300" i="8" l="1"/>
  <c r="CK301" i="8"/>
  <c r="CM302" i="8"/>
  <c r="DS301" i="8"/>
  <c r="CJ301" i="8"/>
  <c r="DJ300" i="8"/>
  <c r="CP300" i="8"/>
  <c r="DV300" i="8" s="1"/>
  <c r="DP300" i="8"/>
  <c r="CL301" i="8"/>
  <c r="DM301" i="8" l="1"/>
  <c r="CK302" i="8"/>
  <c r="CL302" i="8"/>
  <c r="DP301" i="8"/>
  <c r="CJ302" i="8"/>
  <c r="DJ301" i="8"/>
  <c r="CP301" i="8"/>
  <c r="DV301" i="8" s="1"/>
  <c r="DS302" i="8"/>
  <c r="CM303" i="8"/>
  <c r="DM302" i="8" l="1"/>
  <c r="CK303" i="8"/>
  <c r="CM304" i="8"/>
  <c r="DS303" i="8"/>
  <c r="CJ303" i="8"/>
  <c r="DJ302" i="8"/>
  <c r="CP302" i="8"/>
  <c r="DV302" i="8" s="1"/>
  <c r="DP302" i="8"/>
  <c r="CL303" i="8"/>
  <c r="DM303" i="8" l="1"/>
  <c r="CK304" i="8"/>
  <c r="CL304" i="8"/>
  <c r="DP303" i="8"/>
  <c r="CJ304" i="8"/>
  <c r="DJ303" i="8"/>
  <c r="CP303" i="8"/>
  <c r="DV303" i="8" s="1"/>
  <c r="DS304" i="8"/>
  <c r="CM305" i="8"/>
  <c r="DM304" i="8" l="1"/>
  <c r="CK305" i="8"/>
  <c r="CM306" i="8"/>
  <c r="DS305" i="8"/>
  <c r="CJ305" i="8"/>
  <c r="DJ304" i="8"/>
  <c r="CP304" i="8"/>
  <c r="DV304" i="8" s="1"/>
  <c r="DP304" i="8"/>
  <c r="CL305" i="8"/>
  <c r="DM305" i="8" l="1"/>
  <c r="CK306" i="8"/>
  <c r="CL306" i="8"/>
  <c r="DP305" i="8"/>
  <c r="CJ306" i="8"/>
  <c r="DJ305" i="8"/>
  <c r="CP305" i="8"/>
  <c r="DV305" i="8" s="1"/>
  <c r="DS306" i="8"/>
  <c r="CM307" i="8"/>
  <c r="CK307" i="8" l="1"/>
  <c r="DM306" i="8"/>
  <c r="CM308" i="8"/>
  <c r="DS307" i="8"/>
  <c r="DJ306" i="8"/>
  <c r="CJ307" i="8"/>
  <c r="CP306" i="8"/>
  <c r="DV306" i="8" s="1"/>
  <c r="DP306" i="8"/>
  <c r="CL307" i="8"/>
  <c r="CL308" i="8" l="1"/>
  <c r="DP307" i="8"/>
  <c r="DS308" i="8"/>
  <c r="CM309" i="8"/>
  <c r="DM307" i="8"/>
  <c r="CK308" i="8"/>
  <c r="CJ308" i="8"/>
  <c r="DJ307" i="8"/>
  <c r="CP307" i="8"/>
  <c r="DV307" i="8" s="1"/>
  <c r="DM308" i="8" l="1"/>
  <c r="CK309" i="8"/>
  <c r="DS309" i="8"/>
  <c r="CM310" i="8"/>
  <c r="CJ309" i="8"/>
  <c r="DJ308" i="8"/>
  <c r="CP308" i="8"/>
  <c r="DV308" i="8" s="1"/>
  <c r="DP308" i="8"/>
  <c r="CL309" i="8"/>
  <c r="DS310" i="8" l="1"/>
  <c r="CM311" i="8"/>
  <c r="CK310" i="8"/>
  <c r="DM309" i="8"/>
  <c r="DP309" i="8"/>
  <c r="CL310" i="8"/>
  <c r="CJ310" i="8"/>
  <c r="DJ309" i="8"/>
  <c r="CP309" i="8"/>
  <c r="DV309" i="8" s="1"/>
  <c r="DP310" i="8" l="1"/>
  <c r="CL311" i="8"/>
  <c r="CM312" i="8"/>
  <c r="DS311" i="8"/>
  <c r="CJ311" i="8"/>
  <c r="DJ310" i="8"/>
  <c r="CP310" i="8"/>
  <c r="DV310" i="8" s="1"/>
  <c r="DM310" i="8"/>
  <c r="CK311" i="8"/>
  <c r="CL312" i="8" l="1"/>
  <c r="DP311" i="8"/>
  <c r="DM311" i="8"/>
  <c r="CK312" i="8"/>
  <c r="DJ311" i="8"/>
  <c r="CJ312" i="8"/>
  <c r="CP311" i="8"/>
  <c r="DV311" i="8" s="1"/>
  <c r="DS312" i="8"/>
  <c r="CM313" i="8"/>
  <c r="CJ313" i="8" l="1"/>
  <c r="DJ312" i="8"/>
  <c r="CP312" i="8"/>
  <c r="DV312" i="8" s="1"/>
  <c r="DM312" i="8"/>
  <c r="CK313" i="8"/>
  <c r="CM314" i="8"/>
  <c r="DS313" i="8"/>
  <c r="DP312" i="8"/>
  <c r="CL313" i="8"/>
  <c r="DS314" i="8" l="1"/>
  <c r="CM315" i="8"/>
  <c r="CL314" i="8"/>
  <c r="DP313" i="8"/>
  <c r="DM313" i="8"/>
  <c r="CK314" i="8"/>
  <c r="CJ314" i="8"/>
  <c r="DJ313" i="8"/>
  <c r="CP313" i="8"/>
  <c r="DV313" i="8" s="1"/>
  <c r="DM314" i="8" l="1"/>
  <c r="CK315" i="8"/>
  <c r="CM316" i="8"/>
  <c r="DS315" i="8"/>
  <c r="CJ315" i="8"/>
  <c r="DJ314" i="8"/>
  <c r="CP314" i="8"/>
  <c r="DV314" i="8" s="1"/>
  <c r="DP314" i="8"/>
  <c r="CL315" i="8"/>
  <c r="DM315" i="8" l="1"/>
  <c r="CK316" i="8"/>
  <c r="CL316" i="8"/>
  <c r="DP315" i="8"/>
  <c r="CJ316" i="8"/>
  <c r="DJ315" i="8"/>
  <c r="CP315" i="8"/>
  <c r="DV315" i="8" s="1"/>
  <c r="DS316" i="8"/>
  <c r="CM317" i="8"/>
  <c r="DM316" i="8" l="1"/>
  <c r="CK317" i="8"/>
  <c r="CM318" i="8"/>
  <c r="DS317" i="8"/>
  <c r="CJ317" i="8"/>
  <c r="DJ316" i="8"/>
  <c r="CP316" i="8"/>
  <c r="DV316" i="8" s="1"/>
  <c r="DP316" i="8"/>
  <c r="CL317" i="8"/>
  <c r="DM317" i="8" l="1"/>
  <c r="CK318" i="8"/>
  <c r="CL318" i="8"/>
  <c r="DP317" i="8"/>
  <c r="CJ318" i="8"/>
  <c r="DJ317" i="8"/>
  <c r="CP317" i="8"/>
  <c r="DV317" i="8" s="1"/>
  <c r="DS318" i="8"/>
  <c r="CM319" i="8"/>
  <c r="DM318" i="8" l="1"/>
  <c r="CK319" i="8"/>
  <c r="CM320" i="8"/>
  <c r="DS319" i="8"/>
  <c r="CJ319" i="8"/>
  <c r="DJ318" i="8"/>
  <c r="CP318" i="8"/>
  <c r="DV318" i="8" s="1"/>
  <c r="DP318" i="8"/>
  <c r="CL319" i="8"/>
  <c r="DM319" i="8" l="1"/>
  <c r="CK320" i="8"/>
  <c r="CL320" i="8"/>
  <c r="DP319" i="8"/>
  <c r="CJ320" i="8"/>
  <c r="DJ319" i="8"/>
  <c r="CP319" i="8"/>
  <c r="DV319" i="8" s="1"/>
  <c r="DS320" i="8"/>
  <c r="CM321" i="8"/>
  <c r="CK321" i="8" l="1"/>
  <c r="DM320" i="8"/>
  <c r="CM322" i="8"/>
  <c r="DS321" i="8"/>
  <c r="CJ321" i="8"/>
  <c r="DJ320" i="8"/>
  <c r="CP320" i="8"/>
  <c r="DV320" i="8" s="1"/>
  <c r="DP320" i="8"/>
  <c r="CL321" i="8"/>
  <c r="CL322" i="8" l="1"/>
  <c r="DP321" i="8"/>
  <c r="CJ322" i="8"/>
  <c r="DJ321" i="8"/>
  <c r="CP321" i="8"/>
  <c r="DV321" i="8" s="1"/>
  <c r="DS322" i="8"/>
  <c r="CM323" i="8"/>
  <c r="CK322" i="8"/>
  <c r="DM321" i="8"/>
  <c r="DM322" i="8" l="1"/>
  <c r="CK323" i="8"/>
  <c r="CM324" i="8"/>
  <c r="DS323" i="8"/>
  <c r="CJ323" i="8"/>
  <c r="DJ322" i="8"/>
  <c r="CP322" i="8"/>
  <c r="DV322" i="8" s="1"/>
  <c r="DP322" i="8"/>
  <c r="CL323" i="8"/>
  <c r="DM323" i="8" l="1"/>
  <c r="CK324" i="8"/>
  <c r="CL324" i="8"/>
  <c r="DP323" i="8"/>
  <c r="CJ324" i="8"/>
  <c r="DJ323" i="8"/>
  <c r="CP323" i="8"/>
  <c r="DV323" i="8" s="1"/>
  <c r="DS324" i="8"/>
  <c r="CM325" i="8"/>
  <c r="CK325" i="8" l="1"/>
  <c r="DM324" i="8"/>
  <c r="CM326" i="8"/>
  <c r="DS325" i="8"/>
  <c r="CJ325" i="8"/>
  <c r="DJ324" i="8"/>
  <c r="CP324" i="8"/>
  <c r="DV324" i="8" s="1"/>
  <c r="DP324" i="8"/>
  <c r="CL325" i="8"/>
  <c r="CL326" i="8" l="1"/>
  <c r="DP325" i="8"/>
  <c r="DJ325" i="8"/>
  <c r="CJ326" i="8"/>
  <c r="CP325" i="8"/>
  <c r="DV325" i="8" s="1"/>
  <c r="DS326" i="8"/>
  <c r="CM327" i="8"/>
  <c r="DM325" i="8"/>
  <c r="CK326" i="8"/>
  <c r="CJ327" i="8" l="1"/>
  <c r="DJ326" i="8"/>
  <c r="CP326" i="8"/>
  <c r="DV326" i="8" s="1"/>
  <c r="DM326" i="8"/>
  <c r="CK327" i="8"/>
  <c r="CM328" i="8"/>
  <c r="DS327" i="8"/>
  <c r="DP326" i="8"/>
  <c r="CL327" i="8"/>
  <c r="DS328" i="8" l="1"/>
  <c r="CM329" i="8"/>
  <c r="CL328" i="8"/>
  <c r="DP327" i="8"/>
  <c r="DM327" i="8"/>
  <c r="CK328" i="8"/>
  <c r="CJ328" i="8"/>
  <c r="DJ327" i="8"/>
  <c r="CP327" i="8"/>
  <c r="DV327" i="8" s="1"/>
  <c r="DM328" i="8" l="1"/>
  <c r="CK329" i="8"/>
  <c r="CM330" i="8"/>
  <c r="DS329" i="8"/>
  <c r="DJ328" i="8"/>
  <c r="CJ329" i="8"/>
  <c r="CP328" i="8"/>
  <c r="DV328" i="8" s="1"/>
  <c r="DP328" i="8"/>
  <c r="CL329" i="8"/>
  <c r="CJ330" i="8" l="1"/>
  <c r="DJ329" i="8"/>
  <c r="CP329" i="8"/>
  <c r="DV329" i="8" s="1"/>
  <c r="DM329" i="8"/>
  <c r="CK330" i="8"/>
  <c r="CL330" i="8"/>
  <c r="DP329" i="8"/>
  <c r="DS330" i="8"/>
  <c r="CM331" i="8"/>
  <c r="DP330" i="8" l="1"/>
  <c r="CL331" i="8"/>
  <c r="CM332" i="8"/>
  <c r="DS331" i="8"/>
  <c r="DM330" i="8"/>
  <c r="CK331" i="8"/>
  <c r="DJ330" i="8"/>
  <c r="CJ331" i="8"/>
  <c r="CP330" i="8"/>
  <c r="DV330" i="8" s="1"/>
  <c r="CJ332" i="8" l="1"/>
  <c r="DJ331" i="8"/>
  <c r="CP331" i="8"/>
  <c r="DV331" i="8" s="1"/>
  <c r="DM331" i="8"/>
  <c r="CK332" i="8"/>
  <c r="CL332" i="8"/>
  <c r="DP331" i="8"/>
  <c r="DS332" i="8"/>
  <c r="CM333" i="8"/>
  <c r="DP332" i="8" l="1"/>
  <c r="CL333" i="8"/>
  <c r="CM334" i="8"/>
  <c r="DS333" i="8"/>
  <c r="DM332" i="8"/>
  <c r="CK333" i="8"/>
  <c r="CJ333" i="8"/>
  <c r="DJ332" i="8"/>
  <c r="CP332" i="8"/>
  <c r="DV332" i="8" s="1"/>
  <c r="DM333" i="8" l="1"/>
  <c r="CK334" i="8"/>
  <c r="CL334" i="8"/>
  <c r="DP333" i="8"/>
  <c r="CJ334" i="8"/>
  <c r="DJ333" i="8"/>
  <c r="CP333" i="8"/>
  <c r="DV333" i="8" s="1"/>
  <c r="CM335" i="8"/>
  <c r="DS334" i="8"/>
  <c r="DS335" i="8" l="1"/>
  <c r="CM336" i="8"/>
  <c r="DM334" i="8"/>
  <c r="CK335" i="8"/>
  <c r="CJ335" i="8"/>
  <c r="DJ334" i="8"/>
  <c r="CP334" i="8"/>
  <c r="DV334" i="8" s="1"/>
  <c r="CL335" i="8"/>
  <c r="DP334" i="8"/>
  <c r="DP335" i="8" l="1"/>
  <c r="CL336" i="8"/>
  <c r="DM335" i="8"/>
  <c r="CK336" i="8"/>
  <c r="CM337" i="8"/>
  <c r="DS336" i="8"/>
  <c r="CJ336" i="8"/>
  <c r="DJ335" i="8"/>
  <c r="CP335" i="8"/>
  <c r="DV335" i="8" s="1"/>
  <c r="DM336" i="8" l="1"/>
  <c r="CK337" i="8"/>
  <c r="CL337" i="8"/>
  <c r="DP336" i="8"/>
  <c r="CJ337" i="8"/>
  <c r="DJ336" i="8"/>
  <c r="CP336" i="8"/>
  <c r="DV336" i="8" s="1"/>
  <c r="DS337" i="8"/>
  <c r="CM338" i="8"/>
  <c r="DM337" i="8" l="1"/>
  <c r="CK338" i="8"/>
  <c r="CM339" i="8"/>
  <c r="DS338" i="8"/>
  <c r="CJ338" i="8"/>
  <c r="DJ337" i="8"/>
  <c r="CP337" i="8"/>
  <c r="DV337" i="8" s="1"/>
  <c r="DP337" i="8"/>
  <c r="CL338" i="8"/>
  <c r="DM338" i="8" l="1"/>
  <c r="CK339" i="8"/>
  <c r="CL339" i="8"/>
  <c r="DP338" i="8"/>
  <c r="CJ339" i="8"/>
  <c r="DJ338" i="8"/>
  <c r="CP338" i="8"/>
  <c r="DV338" i="8" s="1"/>
  <c r="DS339" i="8"/>
  <c r="CM340" i="8"/>
  <c r="DM339" i="8" l="1"/>
  <c r="CK340" i="8"/>
  <c r="CM341" i="8"/>
  <c r="DS340" i="8"/>
  <c r="CJ340" i="8"/>
  <c r="DJ339" i="8"/>
  <c r="CP339" i="8"/>
  <c r="DV339" i="8" s="1"/>
  <c r="DP339" i="8"/>
  <c r="CL340" i="8"/>
  <c r="CK341" i="8" l="1"/>
  <c r="DM340" i="8"/>
  <c r="CL341" i="8"/>
  <c r="DP340" i="8"/>
  <c r="CJ341" i="8"/>
  <c r="DJ340" i="8"/>
  <c r="CP340" i="8"/>
  <c r="DV340" i="8" s="1"/>
  <c r="DS341" i="8"/>
  <c r="CM342" i="8"/>
  <c r="CM343" i="8" l="1"/>
  <c r="DS342" i="8"/>
  <c r="CJ342" i="8"/>
  <c r="DJ341" i="8"/>
  <c r="CP341" i="8"/>
  <c r="DV341" i="8" s="1"/>
  <c r="DP341" i="8"/>
  <c r="CL342" i="8"/>
  <c r="DM341" i="8"/>
  <c r="CK342" i="8"/>
  <c r="CK343" i="8" l="1"/>
  <c r="DM342" i="8"/>
  <c r="CL343" i="8"/>
  <c r="DP342" i="8"/>
  <c r="DJ342" i="8"/>
  <c r="CJ343" i="8"/>
  <c r="CP342" i="8"/>
  <c r="DV342" i="8" s="1"/>
  <c r="DS343" i="8"/>
  <c r="CM344" i="8"/>
  <c r="CM345" i="8" l="1"/>
  <c r="DS344" i="8"/>
  <c r="CJ344" i="8"/>
  <c r="DJ343" i="8"/>
  <c r="CP343" i="8"/>
  <c r="DV343" i="8" s="1"/>
  <c r="DP343" i="8"/>
  <c r="CL344" i="8"/>
  <c r="DM343" i="8"/>
  <c r="CK344" i="8"/>
  <c r="CK345" i="8" l="1"/>
  <c r="DM344" i="8"/>
  <c r="DP344" i="8"/>
  <c r="CL345" i="8"/>
  <c r="CJ345" i="8"/>
  <c r="DJ344" i="8"/>
  <c r="CP344" i="8"/>
  <c r="DV344" i="8" s="1"/>
  <c r="CM346" i="8"/>
  <c r="DS345" i="8"/>
  <c r="CM347" i="8" l="1"/>
  <c r="DS346" i="8"/>
  <c r="DP345" i="8"/>
  <c r="CL346" i="8"/>
  <c r="CJ346" i="8"/>
  <c r="DJ345" i="8"/>
  <c r="CP345" i="8"/>
  <c r="DV345" i="8" s="1"/>
  <c r="CK346" i="8"/>
  <c r="DM345" i="8"/>
  <c r="DM346" i="8" l="1"/>
  <c r="CK347" i="8"/>
  <c r="CL347" i="8"/>
  <c r="DP346" i="8"/>
  <c r="CJ347" i="8"/>
  <c r="DJ346" i="8"/>
  <c r="CP346" i="8"/>
  <c r="DV346" i="8" s="1"/>
  <c r="DS347" i="8"/>
  <c r="CM348" i="8"/>
  <c r="DM347" i="8" l="1"/>
  <c r="CK348" i="8"/>
  <c r="CM349" i="8"/>
  <c r="DS348" i="8"/>
  <c r="DJ347" i="8"/>
  <c r="CJ348" i="8"/>
  <c r="CP347" i="8"/>
  <c r="DV347" i="8" s="1"/>
  <c r="DP347" i="8"/>
  <c r="CL348" i="8"/>
  <c r="DJ348" i="8" l="1"/>
  <c r="CJ349" i="8"/>
  <c r="CP348" i="8"/>
  <c r="DV348" i="8" s="1"/>
  <c r="DM348" i="8"/>
  <c r="CK349" i="8"/>
  <c r="CL349" i="8"/>
  <c r="DP348" i="8"/>
  <c r="DS349" i="8"/>
  <c r="CM350" i="8"/>
  <c r="DP349" i="8" l="1"/>
  <c r="CL350" i="8"/>
  <c r="CJ350" i="8"/>
  <c r="DJ349" i="8"/>
  <c r="CP349" i="8"/>
  <c r="DV349" i="8" s="1"/>
  <c r="CM351" i="8"/>
  <c r="DS350" i="8"/>
  <c r="DM349" i="8"/>
  <c r="CK350" i="8"/>
  <c r="DM350" i="8" l="1"/>
  <c r="CK351" i="8"/>
  <c r="DS351" i="8"/>
  <c r="CM352" i="8"/>
  <c r="CL351" i="8"/>
  <c r="DP350" i="8"/>
  <c r="CJ351" i="8"/>
  <c r="DJ350" i="8"/>
  <c r="CP350" i="8"/>
  <c r="DV350" i="8" s="1"/>
  <c r="CJ352" i="8" l="1"/>
  <c r="DJ351" i="8"/>
  <c r="CP351" i="8"/>
  <c r="DV351" i="8" s="1"/>
  <c r="DS352" i="8"/>
  <c r="CM353" i="8"/>
  <c r="CK352" i="8"/>
  <c r="DM351" i="8"/>
  <c r="DP351" i="8"/>
  <c r="CL352" i="8"/>
  <c r="CK353" i="8" l="1"/>
  <c r="DM352" i="8"/>
  <c r="DP352" i="8"/>
  <c r="CL353" i="8"/>
  <c r="DS353" i="8"/>
  <c r="CM354" i="8"/>
  <c r="CJ353" i="8"/>
  <c r="DJ352" i="8"/>
  <c r="CP352" i="8"/>
  <c r="DV352" i="8" s="1"/>
  <c r="CM355" i="8" l="1"/>
  <c r="DS354" i="8"/>
  <c r="DP353" i="8"/>
  <c r="CL354" i="8"/>
  <c r="CJ354" i="8"/>
  <c r="DJ353" i="8"/>
  <c r="CP353" i="8"/>
  <c r="DV353" i="8" s="1"/>
  <c r="CK354" i="8"/>
  <c r="DM353" i="8"/>
  <c r="CK355" i="8" l="1"/>
  <c r="DM354" i="8"/>
  <c r="CL355" i="8"/>
  <c r="DP354" i="8"/>
  <c r="DJ354" i="8"/>
  <c r="CJ355" i="8"/>
  <c r="CP354" i="8"/>
  <c r="DV354" i="8" s="1"/>
  <c r="DS355" i="8"/>
  <c r="CM356" i="8"/>
  <c r="CJ356" i="8" l="1"/>
  <c r="DJ355" i="8"/>
  <c r="CP355" i="8"/>
  <c r="DV355" i="8" s="1"/>
  <c r="CM357" i="8"/>
  <c r="DS356" i="8"/>
  <c r="DP355" i="8"/>
  <c r="CL356" i="8"/>
  <c r="CK356" i="8"/>
  <c r="DM355" i="8"/>
  <c r="DM356" i="8" l="1"/>
  <c r="CK357" i="8"/>
  <c r="DS357" i="8"/>
  <c r="CM358" i="8"/>
  <c r="CL357" i="8"/>
  <c r="DP356" i="8"/>
  <c r="CJ357" i="8"/>
  <c r="DJ356" i="8"/>
  <c r="CP356" i="8"/>
  <c r="DV356" i="8" s="1"/>
  <c r="CM359" i="8" l="1"/>
  <c r="DS358" i="8"/>
  <c r="CK358" i="8"/>
  <c r="DM357" i="8"/>
  <c r="CJ358" i="8"/>
  <c r="DJ357" i="8"/>
  <c r="CP357" i="8"/>
  <c r="DV357" i="8" s="1"/>
  <c r="DP357" i="8"/>
  <c r="CL358" i="8"/>
  <c r="CL359" i="8" l="1"/>
  <c r="DP358" i="8"/>
  <c r="CJ359" i="8"/>
  <c r="DJ358" i="8"/>
  <c r="CP358" i="8"/>
  <c r="DV358" i="8" s="1"/>
  <c r="DM358" i="8"/>
  <c r="CK359" i="8"/>
  <c r="DS359" i="8"/>
  <c r="CM360" i="8"/>
  <c r="CM361" i="8" l="1"/>
  <c r="DS360" i="8"/>
  <c r="CK360" i="8"/>
  <c r="DM359" i="8"/>
  <c r="CJ360" i="8"/>
  <c r="DJ359" i="8"/>
  <c r="CP359" i="8"/>
  <c r="DV359" i="8" s="1"/>
  <c r="DP359" i="8"/>
  <c r="CL360" i="8"/>
  <c r="CL361" i="8" l="1"/>
  <c r="DP360" i="8"/>
  <c r="CJ361" i="8"/>
  <c r="DJ360" i="8"/>
  <c r="CP360" i="8"/>
  <c r="DV360" i="8" s="1"/>
  <c r="DM360" i="8"/>
  <c r="CK361" i="8"/>
  <c r="DS361" i="8"/>
  <c r="CM362" i="8"/>
  <c r="CM363" i="8" l="1"/>
  <c r="DS362" i="8"/>
  <c r="CK362" i="8"/>
  <c r="DM361" i="8"/>
  <c r="CJ362" i="8"/>
  <c r="DJ361" i="8"/>
  <c r="CP361" i="8"/>
  <c r="DV361" i="8" s="1"/>
  <c r="DP361" i="8"/>
  <c r="CL362" i="8"/>
  <c r="CL363" i="8" l="1"/>
  <c r="DP362" i="8"/>
  <c r="CJ363" i="8"/>
  <c r="DJ362" i="8"/>
  <c r="CP362" i="8"/>
  <c r="DV362" i="8" s="1"/>
  <c r="DM362" i="8"/>
  <c r="CK363" i="8"/>
  <c r="DS363" i="8"/>
  <c r="CM364" i="8"/>
  <c r="CM365" i="8" l="1"/>
  <c r="DS364" i="8"/>
  <c r="CK364" i="8"/>
  <c r="DM363" i="8"/>
  <c r="CJ364" i="8"/>
  <c r="DJ363" i="8"/>
  <c r="CP363" i="8"/>
  <c r="DV363" i="8" s="1"/>
  <c r="DP363" i="8"/>
  <c r="CL364" i="8"/>
  <c r="CL365" i="8" l="1"/>
  <c r="DP364" i="8"/>
  <c r="CJ365" i="8"/>
  <c r="DJ364" i="8"/>
  <c r="CP364" i="8"/>
  <c r="DV364" i="8" s="1"/>
  <c r="DM364" i="8"/>
  <c r="CK365" i="8"/>
  <c r="DS365" i="8"/>
  <c r="CM366" i="8"/>
  <c r="DS366" i="8" l="1"/>
  <c r="CM367" i="8"/>
  <c r="DM365" i="8"/>
  <c r="CK366" i="8"/>
  <c r="CJ366" i="8"/>
  <c r="DJ365" i="8"/>
  <c r="CP365" i="8"/>
  <c r="DV365" i="8" s="1"/>
  <c r="DP365" i="8"/>
  <c r="CL366" i="8"/>
  <c r="CK367" i="8" l="1"/>
  <c r="DM366" i="8"/>
  <c r="DS367" i="8"/>
  <c r="CM368" i="8"/>
  <c r="DP366" i="8"/>
  <c r="CL367" i="8"/>
  <c r="CJ367" i="8"/>
  <c r="DJ366" i="8"/>
  <c r="CP366" i="8"/>
  <c r="DV366" i="8" s="1"/>
  <c r="DP367" i="8" l="1"/>
  <c r="CL368" i="8"/>
  <c r="O264" i="9"/>
  <c r="CM369" i="8"/>
  <c r="DS369" i="8" s="1"/>
  <c r="DS368" i="8"/>
  <c r="DJ367" i="8"/>
  <c r="CJ368" i="8"/>
  <c r="CJ369" i="8" s="1"/>
  <c r="DJ369" i="8" s="1"/>
  <c r="CP367" i="8"/>
  <c r="DM367" i="8"/>
  <c r="CK368" i="8"/>
  <c r="DV367" i="8" l="1"/>
  <c r="CL369" i="8"/>
  <c r="DP369" i="8" s="1"/>
  <c r="N264" i="9"/>
  <c r="DP368" i="8"/>
  <c r="DM368" i="8"/>
  <c r="CK369" i="8"/>
  <c r="M264" i="9"/>
  <c r="DJ368" i="8"/>
  <c r="L264" i="9"/>
  <c r="CP368" i="8"/>
  <c r="DV368" i="8" l="1"/>
  <c r="CP369" i="8"/>
  <c r="DM369" i="8"/>
  <c r="DV369" i="8" l="1"/>
  <c r="CP371" i="8"/>
  <c r="AB373" i="8" s="1"/>
  <c r="AB377" i="8" s="1"/>
  <c r="AB379" i="8" l="1"/>
  <c r="AQ378" i="8"/>
  <c r="J126" i="9" s="1"/>
  <c r="AR378" i="8"/>
  <c r="J127" i="9" s="1"/>
  <c r="AS378" i="8"/>
  <c r="AT378" i="8"/>
  <c r="I189" i="9" l="1"/>
  <c r="I118" i="9"/>
  <c r="I349" i="9"/>
  <c r="L272" i="9" s="1"/>
  <c r="J93" i="9" l="1"/>
  <c r="I131" i="9"/>
  <c r="I137" i="9" s="1"/>
  <c r="I14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O'Meagher</author>
  </authors>
  <commentList>
    <comment ref="J86" authorId="0" shapeId="0" xr:uid="{00000000-0006-0000-0000-000001000000}">
      <text>
        <r>
          <rPr>
            <b/>
            <sz val="8"/>
            <color indexed="81"/>
            <rFont val="Tahoma"/>
            <family val="2"/>
          </rPr>
          <t>O'Meagher:</t>
        </r>
        <r>
          <rPr>
            <sz val="8"/>
            <color indexed="81"/>
            <rFont val="Tahoma"/>
            <family val="2"/>
          </rPr>
          <t xml:space="preserve">
The Net Income figure will NOT be used in the calculation or shown in the certificate.  
This is only for your benefit so you can see the closing balance after net income for checking purposes.</t>
        </r>
      </text>
    </comment>
    <comment ref="H93" authorId="0" shapeId="0" xr:uid="{00000000-0006-0000-0000-000002000000}">
      <text>
        <r>
          <rPr>
            <b/>
            <sz val="8"/>
            <color indexed="81"/>
            <rFont val="Tahoma"/>
            <family val="2"/>
          </rPr>
          <t>O'Meagher:</t>
        </r>
        <r>
          <rPr>
            <sz val="8"/>
            <color indexed="81"/>
            <rFont val="Tahoma"/>
            <family val="2"/>
          </rPr>
          <t xml:space="preserve">
Include the total value of ALL ASSETS in the Fund at the end of the financial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O'Meagher</author>
  </authors>
  <commentList>
    <comment ref="J85" authorId="0" shapeId="0" xr:uid="{00000000-0006-0000-0100-000001000000}">
      <text>
        <r>
          <rPr>
            <b/>
            <sz val="8"/>
            <color indexed="81"/>
            <rFont val="Tahoma"/>
            <family val="2"/>
          </rPr>
          <t>O'Meagher:</t>
        </r>
        <r>
          <rPr>
            <sz val="8"/>
            <color indexed="81"/>
            <rFont val="Tahoma"/>
            <family val="2"/>
          </rPr>
          <t xml:space="preserve">
Need to change this so that the 'from account' balance is used rather than a straight amount.</t>
        </r>
      </text>
    </comment>
  </commentList>
</comments>
</file>

<file path=xl/sharedStrings.xml><?xml version="1.0" encoding="utf-8"?>
<sst xmlns="http://schemas.openxmlformats.org/spreadsheetml/2006/main" count="508" uniqueCount="298">
  <si>
    <t>Member 1</t>
  </si>
  <si>
    <t>Member 2</t>
  </si>
  <si>
    <t>Member 3</t>
  </si>
  <si>
    <t>Member 4</t>
  </si>
  <si>
    <t>Contributions</t>
  </si>
  <si>
    <t>Transfers In</t>
  </si>
  <si>
    <t>TOTALS</t>
  </si>
  <si>
    <t>Transaction Type</t>
  </si>
  <si>
    <t>CONTRIBUTION</t>
  </si>
  <si>
    <t>TRANSFER IN</t>
  </si>
  <si>
    <t>Postal Address</t>
  </si>
  <si>
    <t>Name of Fund</t>
  </si>
  <si>
    <t>Names of Trustees</t>
  </si>
  <si>
    <t>Year required for</t>
  </si>
  <si>
    <t>Member Names</t>
  </si>
  <si>
    <t>Dates of Birth</t>
  </si>
  <si>
    <t>MEMBER 1</t>
  </si>
  <si>
    <t>MEMBER 2</t>
  </si>
  <si>
    <t>MEMBER 3</t>
  </si>
  <si>
    <t>MEMBER 4</t>
  </si>
  <si>
    <t>TRANSACTION DATES/DETAILS RECONCILIATION:</t>
  </si>
  <si>
    <t>TOTAL</t>
  </si>
  <si>
    <t xml:space="preserve">Postcode: </t>
  </si>
  <si>
    <t>Member Information</t>
  </si>
  <si>
    <t xml:space="preserve">Member Surname: </t>
  </si>
  <si>
    <t xml:space="preserve">Member Firstname: </t>
  </si>
  <si>
    <t>Transaction Date</t>
  </si>
  <si>
    <t>Contact Person</t>
  </si>
  <si>
    <t>Admin Company Name</t>
  </si>
  <si>
    <t>Town/Suburb/City</t>
  </si>
  <si>
    <t>STATE</t>
  </si>
  <si>
    <t>Postcode</t>
  </si>
  <si>
    <t>Phone Number</t>
  </si>
  <si>
    <t>Contact Email Address</t>
  </si>
  <si>
    <t>ACT</t>
  </si>
  <si>
    <t>NSW</t>
  </si>
  <si>
    <t>NT</t>
  </si>
  <si>
    <t>QLD</t>
  </si>
  <si>
    <t>SA</t>
  </si>
  <si>
    <t>TAS</t>
  </si>
  <si>
    <t>VIC</t>
  </si>
  <si>
    <t>WA</t>
  </si>
  <si>
    <t xml:space="preserve">State/Territory: </t>
  </si>
  <si>
    <t xml:space="preserve">Name of Administration/Advisors Company: </t>
  </si>
  <si>
    <t xml:space="preserve">Postal Address of Administration Company: </t>
  </si>
  <si>
    <t xml:space="preserve">Person to contact for further info/clarification: </t>
  </si>
  <si>
    <t xml:space="preserve">Email Address of Contact Person: </t>
  </si>
  <si>
    <t xml:space="preserve">Name of Superannuation Fund: </t>
  </si>
  <si>
    <t>Name of Corporate Trustee (if appropriate):</t>
  </si>
  <si>
    <t>Reserve</t>
  </si>
  <si>
    <t>Amount</t>
  </si>
  <si>
    <t>Benefits Paid</t>
  </si>
  <si>
    <t>From Account</t>
  </si>
  <si>
    <t>To Account</t>
  </si>
  <si>
    <t>Description of Internal Transfer</t>
  </si>
  <si>
    <t>Date of Transfer</t>
  </si>
  <si>
    <t>Did this leave the balance of the From Account at zero?</t>
  </si>
  <si>
    <t>Provide Dates of Birth for members with non-zero balances</t>
  </si>
  <si>
    <t>Provide Firstnames and Surnames</t>
  </si>
  <si>
    <t>INTERNAL TRANSFERS</t>
  </si>
  <si>
    <t>Pension Balances</t>
  </si>
  <si>
    <t>Accumulation Balances</t>
  </si>
  <si>
    <t>Good?</t>
  </si>
  <si>
    <t>Transfer 1</t>
  </si>
  <si>
    <t>Transfer 2</t>
  </si>
  <si>
    <t>Transfer 3</t>
  </si>
  <si>
    <t>Transfer 4</t>
  </si>
  <si>
    <t>Transfer 5</t>
  </si>
  <si>
    <t>Transfer 6</t>
  </si>
  <si>
    <t>Transfer 7</t>
  </si>
  <si>
    <t>Transfer 8</t>
  </si>
  <si>
    <t>Transfer 9</t>
  </si>
  <si>
    <t>Transfer 10</t>
  </si>
  <si>
    <t>Net Income (for</t>
  </si>
  <si>
    <t>balancing only)</t>
  </si>
  <si>
    <t>Closing Balance</t>
  </si>
  <si>
    <t>(after net income)</t>
  </si>
  <si>
    <t xml:space="preserve">Full Name of Trustee 4: </t>
  </si>
  <si>
    <t xml:space="preserve">Full Name of Trustee 3: </t>
  </si>
  <si>
    <t xml:space="preserve">Full Name of Trustee 1: </t>
  </si>
  <si>
    <t xml:space="preserve">Full Name of Trustee 2: </t>
  </si>
  <si>
    <t>mid date</t>
  </si>
  <si>
    <t>Total Fund</t>
  </si>
  <si>
    <t>UNIFORM</t>
  </si>
  <si>
    <t>Transaction Details (General Ledger)</t>
  </si>
  <si>
    <t>Transactions</t>
  </si>
  <si>
    <t>Transacts</t>
  </si>
  <si>
    <t>Balances</t>
  </si>
  <si>
    <t>Balance</t>
  </si>
  <si>
    <t xml:space="preserve">PENSION </t>
  </si>
  <si>
    <t>ACCUM</t>
  </si>
  <si>
    <t>Transactions from Pension Account/s</t>
  </si>
  <si>
    <t>Transaction</t>
  </si>
  <si>
    <t>Transactions from Accumulation Account/s</t>
  </si>
  <si>
    <t>Pension</t>
  </si>
  <si>
    <t>Accum</t>
  </si>
  <si>
    <t>Accumulation</t>
  </si>
  <si>
    <t>PAYMENTS</t>
  </si>
  <si>
    <t>TRANSACTIONS</t>
  </si>
  <si>
    <t>Date</t>
  </si>
  <si>
    <t>M1</t>
  </si>
  <si>
    <t>M2</t>
  </si>
  <si>
    <t>M3</t>
  </si>
  <si>
    <t>M4</t>
  </si>
  <si>
    <t>FROM</t>
  </si>
  <si>
    <t>TO</t>
  </si>
  <si>
    <t>Opening Pens Bal</t>
  </si>
  <si>
    <t>Op Bal</t>
  </si>
  <si>
    <t>Opening Accum Bal</t>
  </si>
  <si>
    <t>OB2</t>
  </si>
  <si>
    <t>OB3</t>
  </si>
  <si>
    <t>OB4</t>
  </si>
  <si>
    <t>EARLIEST</t>
  </si>
  <si>
    <t>OB5</t>
  </si>
  <si>
    <t>UNIFORMS</t>
  </si>
  <si>
    <t>UNIFORM START</t>
  </si>
  <si>
    <t>LATEST</t>
  </si>
  <si>
    <t>UNIFORM END</t>
  </si>
  <si>
    <t>CANNOT USE UNIFORMITY</t>
  </si>
  <si>
    <t>TAX EXEMPT PERCENTAGE</t>
  </si>
  <si>
    <t>days in year</t>
  </si>
  <si>
    <t>CALCULATION SECTION</t>
  </si>
  <si>
    <t>PENSION</t>
  </si>
  <si>
    <t>ACCUMULATION</t>
  </si>
  <si>
    <t>check days</t>
  </si>
  <si>
    <t>weighted value</t>
  </si>
  <si>
    <t>Opening</t>
  </si>
  <si>
    <t>Pension commences</t>
  </si>
  <si>
    <t>Pension ceases</t>
  </si>
  <si>
    <t>Total</t>
  </si>
  <si>
    <t>Minimum</t>
  </si>
  <si>
    <t>Maximum</t>
  </si>
  <si>
    <t>MinSum</t>
  </si>
  <si>
    <t>MaxSum</t>
  </si>
  <si>
    <t xml:space="preserve">Postal Address - Town/Suburb/City: </t>
  </si>
  <si>
    <t>MEMBERSHIP DETAILS</t>
  </si>
  <si>
    <t>If No - what amount was left?</t>
  </si>
  <si>
    <t>NumBlanks</t>
  </si>
  <si>
    <t>PenComm</t>
  </si>
  <si>
    <t>CeasePen</t>
  </si>
  <si>
    <t>Res Alloc</t>
  </si>
  <si>
    <t>COMMENTS SECTION</t>
  </si>
  <si>
    <t>Proportion</t>
  </si>
  <si>
    <t>Sheet</t>
  </si>
  <si>
    <t>Calc</t>
  </si>
  <si>
    <t>Result</t>
  </si>
  <si>
    <t xml:space="preserve">Name of Company to be Invoiced: </t>
  </si>
  <si>
    <t>Only complete if the invoice is to be issued to someone other than Trustees or Administrator</t>
  </si>
  <si>
    <t xml:space="preserve">Postal Address of Invoiced Company: </t>
  </si>
  <si>
    <t xml:space="preserve">Contact Person at Invoiced Company: </t>
  </si>
  <si>
    <t xml:space="preserve">Credit Card Number (groups of 4 digits): </t>
  </si>
  <si>
    <t>XXXX</t>
  </si>
  <si>
    <t xml:space="preserve">Name as it appears on Credit Card: </t>
  </si>
  <si>
    <t xml:space="preserve">Credit Card Type: </t>
  </si>
  <si>
    <t>Expiry Month</t>
  </si>
  <si>
    <t>Expiry Year</t>
  </si>
  <si>
    <t>If you have not already done so, please send through a note/letter/completed invoice showing the above credit card details with your signature.  Once we</t>
  </si>
  <si>
    <t>have one copy of your signature on file, we can process further payments without you having to re-send your signature.</t>
  </si>
  <si>
    <t>Third Party (listed later in form)</t>
  </si>
  <si>
    <t>Segregated Assets</t>
  </si>
  <si>
    <t>Any Pensions?</t>
  </si>
  <si>
    <t>Pension?</t>
  </si>
  <si>
    <t>Date Member Exited Fund (if in current year):</t>
  </si>
  <si>
    <t>Clients are not expected or required to pay up-front via Credit Card.  This is simply an option for those who prefer to do so!</t>
  </si>
  <si>
    <t>Reversion</t>
  </si>
  <si>
    <t>Tax Exempt Estimate</t>
  </si>
  <si>
    <t>Member to</t>
  </si>
  <si>
    <t>Member</t>
  </si>
  <si>
    <t>Tax Exempt % Estimate</t>
  </si>
  <si>
    <t>Postcode:</t>
  </si>
  <si>
    <t>Contact Phone Number:</t>
  </si>
  <si>
    <t>Client Number (if known):</t>
  </si>
  <si>
    <t xml:space="preserve">TRANSACTION DATES </t>
  </si>
  <si>
    <t>RELEVANT INCOME YEAR</t>
  </si>
  <si>
    <t>FUND IDENTIFICATION</t>
  </si>
  <si>
    <t>FUND ADMINISTRATOR / ADVISER INFORMATION</t>
  </si>
  <si>
    <t>THIRD PARTY INVOICING</t>
  </si>
  <si>
    <t>Did the Fund hold a reserve at any time during the Income Year?</t>
  </si>
  <si>
    <t>Tax % Estimate</t>
  </si>
  <si>
    <t>MEMBER ACCOUNT OPENING BALANCES</t>
  </si>
  <si>
    <t>Were there any segregated assets?</t>
  </si>
  <si>
    <t xml:space="preserve">This request is for an actuarial certificate for the income year </t>
  </si>
  <si>
    <t>TRANSACTION SUMMARY TABLE</t>
  </si>
  <si>
    <t>Email address</t>
  </si>
  <si>
    <t>Certificate</t>
  </si>
  <si>
    <t>Invoice</t>
  </si>
  <si>
    <t xml:space="preserve">Email Address of Main Contact: </t>
  </si>
  <si>
    <t>CONTRIBUTIONS - amount expected</t>
  </si>
  <si>
    <t>CONTRIBUTIONS - amount listed</t>
  </si>
  <si>
    <t>TRANSFERS IN - amount listed</t>
  </si>
  <si>
    <t>BENEFITS PAID - amount expected</t>
  </si>
  <si>
    <t>BENEFITS PAID - amount listed</t>
  </si>
  <si>
    <t>TRANSFERS IN - amount expected</t>
  </si>
  <si>
    <t xml:space="preserve">MISSING </t>
  </si>
  <si>
    <t>Also indicate if there was anything in the application that you were unsure about.</t>
  </si>
  <si>
    <t xml:space="preserve">If segregated assets were excluded from this form, please show the Closing Balance of the Fund (including Segregated Asset Values) </t>
  </si>
  <si>
    <t xml:space="preserve">Fund Closing Balance (including Segregated Assets) </t>
  </si>
  <si>
    <t>Please include Special Instructions and requests here rather than in the email.</t>
  </si>
  <si>
    <t>If you would like assistance with this form, please call the Act2 Team on 1800 230 737</t>
  </si>
  <si>
    <t>Ref No:</t>
  </si>
  <si>
    <t>Once completed, please email this form to act@act2.com.au</t>
  </si>
  <si>
    <t xml:space="preserve">Actuarial Certificate required by s295.390 of the Income Tax Assessment Act 1997 </t>
  </si>
  <si>
    <r>
      <t xml:space="preserve">Total Amount </t>
    </r>
    <r>
      <rPr>
        <b/>
        <sz val="10"/>
        <color indexed="54"/>
        <rFont val="Arial"/>
        <family val="2"/>
      </rPr>
      <t>CONTRIBUTED</t>
    </r>
    <r>
      <rPr>
        <sz val="10"/>
        <color indexed="54"/>
        <rFont val="Arial"/>
        <family val="2"/>
      </rPr>
      <t xml:space="preserve"> per member</t>
    </r>
  </si>
  <si>
    <r>
      <t>Amount</t>
    </r>
    <r>
      <rPr>
        <b/>
        <sz val="10"/>
        <color indexed="54"/>
        <rFont val="Arial"/>
        <family val="2"/>
      </rPr>
      <t xml:space="preserve"> TRANSFERRED IN</t>
    </r>
    <r>
      <rPr>
        <sz val="10"/>
        <color indexed="54"/>
        <rFont val="Arial"/>
        <family val="2"/>
      </rPr>
      <t xml:space="preserve"> (from outside)</t>
    </r>
  </si>
  <si>
    <t>No</t>
  </si>
  <si>
    <t>Your reference for this fund:</t>
  </si>
  <si>
    <r>
      <t xml:space="preserve">Date of Birth </t>
    </r>
    <r>
      <rPr>
        <sz val="8"/>
        <rFont val="Arial"/>
        <family val="2"/>
      </rPr>
      <t>(</t>
    </r>
    <r>
      <rPr>
        <b/>
        <sz val="8"/>
        <rFont val="Arial"/>
        <family val="2"/>
      </rPr>
      <t>DD/MM/YYYY</t>
    </r>
    <r>
      <rPr>
        <sz val="8"/>
        <rFont val="Arial"/>
        <family val="2"/>
      </rPr>
      <t xml:space="preserve">): </t>
    </r>
  </si>
  <si>
    <r>
      <rPr>
        <sz val="10"/>
        <color indexed="10"/>
        <rFont val="Arial"/>
        <family val="2"/>
      </rPr>
      <t>***</t>
    </r>
    <r>
      <rPr>
        <sz val="10"/>
        <color indexed="56"/>
        <rFont val="Arial"/>
        <family val="2"/>
      </rPr>
      <t xml:space="preserve"> </t>
    </r>
    <r>
      <rPr>
        <sz val="10"/>
        <color indexed="10"/>
        <rFont val="Arial"/>
        <family val="2"/>
      </rPr>
      <t>OPTIONAL</t>
    </r>
    <r>
      <rPr>
        <sz val="10"/>
        <color indexed="56"/>
        <rFont val="Arial"/>
        <family val="2"/>
      </rPr>
      <t xml:space="preserve"> </t>
    </r>
    <r>
      <rPr>
        <sz val="10"/>
        <color indexed="10"/>
        <rFont val="Arial"/>
        <family val="2"/>
      </rPr>
      <t>***</t>
    </r>
    <r>
      <rPr>
        <sz val="10"/>
        <color indexed="56"/>
        <rFont val="Arial"/>
        <family val="2"/>
      </rPr>
      <t xml:space="preserve">           </t>
    </r>
    <r>
      <rPr>
        <sz val="10"/>
        <color indexed="54"/>
        <rFont val="Arial"/>
        <family val="2"/>
      </rPr>
      <t>UP-FRONT CREDIT CARD PAYMENT</t>
    </r>
    <r>
      <rPr>
        <sz val="10"/>
        <color indexed="56"/>
        <rFont val="Arial"/>
        <family val="2"/>
      </rPr>
      <t xml:space="preserve">           </t>
    </r>
    <r>
      <rPr>
        <sz val="10"/>
        <color indexed="10"/>
        <rFont val="Arial"/>
        <family val="2"/>
      </rPr>
      <t>***</t>
    </r>
    <r>
      <rPr>
        <sz val="10"/>
        <color indexed="56"/>
        <rFont val="Arial"/>
        <family val="2"/>
      </rPr>
      <t xml:space="preserve"> </t>
    </r>
    <r>
      <rPr>
        <sz val="10"/>
        <color indexed="10"/>
        <rFont val="Arial"/>
        <family val="2"/>
      </rPr>
      <t>OPTIONAL ***</t>
    </r>
  </si>
  <si>
    <r>
      <t xml:space="preserve">When completed, </t>
    </r>
    <r>
      <rPr>
        <sz val="10"/>
        <color indexed="12"/>
        <rFont val="Arial"/>
        <family val="2"/>
      </rPr>
      <t>save with name</t>
    </r>
    <r>
      <rPr>
        <sz val="10"/>
        <rFont val="Arial"/>
        <family val="2"/>
      </rPr>
      <t xml:space="preserve"> (e.g. </t>
    </r>
    <r>
      <rPr>
        <sz val="10"/>
        <color indexed="10"/>
        <rFont val="Arial"/>
        <family val="2"/>
      </rPr>
      <t>Smith SF 2012.xls</t>
    </r>
    <r>
      <rPr>
        <sz val="10"/>
        <rFont val="Arial"/>
        <family val="2"/>
      </rPr>
      <t xml:space="preserve">), then email to </t>
    </r>
    <r>
      <rPr>
        <sz val="10"/>
        <color indexed="12"/>
        <rFont val="Arial"/>
        <family val="2"/>
      </rPr>
      <t xml:space="preserve">act@act2.com.au </t>
    </r>
    <r>
      <rPr>
        <sz val="10"/>
        <rFont val="Arial"/>
        <family val="2"/>
      </rPr>
      <t xml:space="preserve">as an </t>
    </r>
    <r>
      <rPr>
        <sz val="10"/>
        <color indexed="12"/>
        <rFont val="Arial"/>
        <family val="2"/>
      </rPr>
      <t xml:space="preserve">Excel </t>
    </r>
    <r>
      <rPr>
        <sz val="10"/>
        <rFont val="Arial"/>
        <family val="2"/>
      </rPr>
      <t>attachment.</t>
    </r>
  </si>
  <si>
    <t>Deemed</t>
  </si>
  <si>
    <t>Seg Period</t>
  </si>
  <si>
    <t>St Date</t>
  </si>
  <si>
    <t>End Date</t>
  </si>
  <si>
    <t>On/Off</t>
  </si>
  <si>
    <t>St Dates</t>
  </si>
  <si>
    <t>End Dates</t>
  </si>
  <si>
    <t>St Days</t>
  </si>
  <si>
    <t>End Days</t>
  </si>
  <si>
    <t xml:space="preserve">Total </t>
  </si>
  <si>
    <t xml:space="preserve">Pension </t>
  </si>
  <si>
    <t>Amount to</t>
  </si>
  <si>
    <t>Remove</t>
  </si>
  <si>
    <t>Replace</t>
  </si>
  <si>
    <t>Comments and assistance around DSPs</t>
  </si>
  <si>
    <t>Periods throughout the income year</t>
  </si>
  <si>
    <t>Unsegregated Periods</t>
  </si>
  <si>
    <t>Sorted Periods</t>
  </si>
  <si>
    <t>Account Balances at end of each period (assists with determining correct tax exempt percentage)</t>
  </si>
  <si>
    <t>Eligibility to use the segregated method for ECPI</t>
  </si>
  <si>
    <r>
      <t xml:space="preserve">FORM COMPLETION CHECKING AREA - You don't want to see any </t>
    </r>
    <r>
      <rPr>
        <b/>
        <sz val="10"/>
        <color indexed="10"/>
        <rFont val="Arial"/>
        <family val="2"/>
      </rPr>
      <t>RED</t>
    </r>
    <r>
      <rPr>
        <sz val="10"/>
        <rFont val="Arial"/>
        <family val="2"/>
      </rPr>
      <t xml:space="preserve"> down here.</t>
    </r>
  </si>
  <si>
    <t>Period</t>
  </si>
  <si>
    <t>ECPI Method</t>
  </si>
  <si>
    <t>Description</t>
  </si>
  <si>
    <t>Start Date</t>
  </si>
  <si>
    <t>of Period</t>
  </si>
  <si>
    <t>Pens Bal</t>
  </si>
  <si>
    <t xml:space="preserve">Period Commencement </t>
  </si>
  <si>
    <t>StDate?</t>
  </si>
  <si>
    <t>Average</t>
  </si>
  <si>
    <t>Mem 1 Bal</t>
  </si>
  <si>
    <t>m1</t>
  </si>
  <si>
    <t>m2</t>
  </si>
  <si>
    <t>m3</t>
  </si>
  <si>
    <t>m4</t>
  </si>
  <si>
    <t>Set</t>
  </si>
  <si>
    <t>Aside for</t>
  </si>
  <si>
    <t>Graphs</t>
  </si>
  <si>
    <r>
      <rPr>
        <u/>
        <sz val="10"/>
        <color indexed="60"/>
        <rFont val="Arial"/>
        <family val="2"/>
      </rPr>
      <t>AMENDMENTS</t>
    </r>
    <r>
      <rPr>
        <sz val="10"/>
        <color indexed="60"/>
        <rFont val="Arial"/>
        <family val="2"/>
      </rPr>
      <t xml:space="preserve">: </t>
    </r>
    <r>
      <rPr>
        <sz val="10"/>
        <color indexed="8"/>
        <rFont val="Arial"/>
        <family val="2"/>
      </rPr>
      <t xml:space="preserve">     </t>
    </r>
    <r>
      <rPr>
        <sz val="10"/>
        <color indexed="54"/>
        <rFont val="Arial"/>
        <family val="2"/>
      </rPr>
      <t>If this request is to AMEND a previous Act2 Certificate enter original reference number below:</t>
    </r>
  </si>
  <si>
    <t xml:space="preserve">https://www.act2.com.au/attachments/Act2_techdoc_May2018.pdf </t>
  </si>
  <si>
    <t>For information regarding Deemed Segregation Periods and how to apply the tax exempt percentage, please click on the link below to read our TechDoc article:</t>
  </si>
  <si>
    <t>TYPE</t>
  </si>
  <si>
    <t>LastPer</t>
  </si>
  <si>
    <t>m1 Pens Bal</t>
  </si>
  <si>
    <t>m2 Pens Bal</t>
  </si>
  <si>
    <t>m3 Pens Bal</t>
  </si>
  <si>
    <t>m4 Pens Bal</t>
  </si>
  <si>
    <t>Mem 2 Bal</t>
  </si>
  <si>
    <t>Mem 3 Bal</t>
  </si>
  <si>
    <t>Mem 4 Bal</t>
  </si>
  <si>
    <t>Tax Exempt % by member</t>
  </si>
  <si>
    <t>Proportion of Fund Balance</t>
  </si>
  <si>
    <t>2018/19</t>
  </si>
  <si>
    <t>2015/16</t>
  </si>
  <si>
    <t>2016/17</t>
  </si>
  <si>
    <t>2017/18</t>
  </si>
  <si>
    <t>2019/20</t>
  </si>
  <si>
    <t>2020/21</t>
  </si>
  <si>
    <t>2021/22</t>
  </si>
  <si>
    <t>2022/23</t>
  </si>
  <si>
    <t>Commence Retirement Phase (from non-Retirement)</t>
  </si>
  <si>
    <t>Commute Retirement Phase (to non-Retirement)</t>
  </si>
  <si>
    <t>Retirement Phase - Member to Member (Reversion)</t>
  </si>
  <si>
    <t>Allocation to/from Reserve Account</t>
  </si>
  <si>
    <t>Other transfer (use comments section to describe)</t>
  </si>
  <si>
    <t>Mem1 Non-RP</t>
  </si>
  <si>
    <t>Mem2 Non-RP</t>
  </si>
  <si>
    <t>Mem3 Non-RP</t>
  </si>
  <si>
    <t>Mem4 Non-RP</t>
  </si>
  <si>
    <t>Mem1 Ret. Phase</t>
  </si>
  <si>
    <t>Mem2 Ret. Phase</t>
  </si>
  <si>
    <t>Mem3 Ret. Phase</t>
  </si>
  <si>
    <t>Mem4 Ret. Phase</t>
  </si>
  <si>
    <t>Reserve Account</t>
  </si>
  <si>
    <t>INTERNAL TRANSFERS (Including Retirement Phase Commmencements/Commutations)</t>
  </si>
  <si>
    <r>
      <t xml:space="preserve">BENEFITS PAID </t>
    </r>
    <r>
      <rPr>
        <sz val="10"/>
        <color indexed="54"/>
        <rFont val="Arial"/>
        <family val="2"/>
      </rPr>
      <t>(Retirement and non-Retirement)</t>
    </r>
  </si>
  <si>
    <t>RET. PHASE BENEFIT</t>
  </si>
  <si>
    <t>NON RET. PHASE BENEFIT</t>
  </si>
  <si>
    <t>ver201920</t>
  </si>
  <si>
    <t>Yes</t>
  </si>
  <si>
    <r>
      <t xml:space="preserve">Application for Actuarial Certificate of Income Tax Exemption for                                                        </t>
    </r>
    <r>
      <rPr>
        <sz val="16"/>
        <color rgb="FF7030A0"/>
        <rFont val="Arial"/>
        <family val="2"/>
      </rPr>
      <t>SELF MANAGED SUPERANNUATION FUNDS with Unsegregated Assets</t>
    </r>
  </si>
  <si>
    <t>2023/24</t>
  </si>
  <si>
    <t>2024/25</t>
  </si>
  <si>
    <t>2025/26</t>
  </si>
  <si>
    <t>2026/27</t>
  </si>
  <si>
    <t>Choice as to whether to use Segregated Method for ECPI</t>
  </si>
  <si>
    <t xml:space="preserve">Superannuation Fund ABN: </t>
  </si>
  <si>
    <t xml:space="preserve">        Additional Fund Identification</t>
  </si>
  <si>
    <t xml:space="preserve">Accounts Department (email address to send Invoice 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</si>
</sst>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quot;$&quot;#,##0"/>
    <numFmt numFmtId="165" formatCode="_-* #,##0_-;\-* #,##0_-;_-* &quot;-&quot;??_-;_-@_-"/>
    <numFmt numFmtId="166" formatCode="_-&quot;$&quot;* #,##0_-;\-&quot;$&quot;* #,##0_-;_-&quot;$&quot;* &quot;-&quot;??_-;_-@_-"/>
    <numFmt numFmtId="167" formatCode="dd/mm/yyyy;@"/>
    <numFmt numFmtId="168" formatCode="0.000%"/>
    <numFmt numFmtId="169" formatCode="_-* #,##0.0000000_-;\-* #,##0.0000000_-;_-* &quot;-&quot;??_-;_-@_-"/>
  </numFmts>
  <fonts count="121"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8"/>
      <name val="Arial"/>
      <family val="2"/>
    </font>
    <font>
      <b/>
      <sz val="10"/>
      <name val="Arial"/>
      <family val="2"/>
    </font>
    <font>
      <sz val="10"/>
      <name val="Arial"/>
      <family val="2"/>
    </font>
    <font>
      <sz val="10"/>
      <color indexed="8"/>
      <name val="Arial"/>
      <family val="2"/>
    </font>
    <font>
      <sz val="8"/>
      <color indexed="81"/>
      <name val="Tahoma"/>
      <family val="2"/>
    </font>
    <font>
      <b/>
      <sz val="8"/>
      <color indexed="81"/>
      <name val="Tahoma"/>
      <family val="2"/>
    </font>
    <font>
      <sz val="11"/>
      <color indexed="8"/>
      <name val="Calibri"/>
      <family val="2"/>
    </font>
    <font>
      <sz val="11"/>
      <color indexed="9"/>
      <name val="Calibri"/>
      <family val="2"/>
    </font>
    <font>
      <b/>
      <sz val="11"/>
      <color indexed="62"/>
      <name val="Calibri"/>
      <family val="2"/>
    </font>
    <font>
      <sz val="11"/>
      <color indexed="62"/>
      <name val="Calibri"/>
      <family val="2"/>
    </font>
    <font>
      <b/>
      <sz val="11"/>
      <color indexed="8"/>
      <name val="Calibri"/>
      <family val="2"/>
    </font>
    <font>
      <sz val="11"/>
      <color indexed="10"/>
      <name val="Calibri"/>
      <family val="2"/>
    </font>
    <font>
      <sz val="11"/>
      <name val="Calibri"/>
      <family val="2"/>
    </font>
    <font>
      <b/>
      <sz val="11"/>
      <name val="Calibri"/>
      <family val="2"/>
    </font>
    <font>
      <b/>
      <sz val="11"/>
      <color indexed="30"/>
      <name val="Calibri"/>
      <family val="2"/>
    </font>
    <font>
      <b/>
      <sz val="11"/>
      <color indexed="10"/>
      <name val="Calibri"/>
      <family val="2"/>
    </font>
    <font>
      <sz val="11"/>
      <color indexed="56"/>
      <name val="Calibri"/>
      <family val="2"/>
    </font>
    <font>
      <b/>
      <sz val="10"/>
      <color indexed="56"/>
      <name val="Arial"/>
      <family val="2"/>
    </font>
    <font>
      <b/>
      <sz val="8"/>
      <name val="Arial"/>
      <family val="2"/>
    </font>
    <font>
      <b/>
      <sz val="11"/>
      <color indexed="8"/>
      <name val="Calibri"/>
      <family val="2"/>
    </font>
    <font>
      <b/>
      <sz val="11"/>
      <color indexed="10"/>
      <name val="Calibri"/>
      <family val="2"/>
    </font>
    <font>
      <b/>
      <sz val="10"/>
      <color indexed="54"/>
      <name val="Arial"/>
      <family val="2"/>
    </font>
    <font>
      <sz val="10"/>
      <color indexed="54"/>
      <name val="Arial"/>
      <family val="2"/>
    </font>
    <font>
      <u/>
      <sz val="10"/>
      <color indexed="60"/>
      <name val="Arial"/>
      <family val="2"/>
    </font>
    <font>
      <sz val="10"/>
      <color indexed="60"/>
      <name val="Arial"/>
      <family val="2"/>
    </font>
    <font>
      <b/>
      <sz val="11"/>
      <color indexed="10"/>
      <name val="Calibri"/>
      <family val="2"/>
    </font>
    <font>
      <b/>
      <sz val="14"/>
      <color indexed="8"/>
      <name val="Verdana"/>
      <family val="2"/>
    </font>
    <font>
      <sz val="10"/>
      <color indexed="8"/>
      <name val="Verdana"/>
      <family val="2"/>
    </font>
    <font>
      <sz val="10"/>
      <name val="Arial"/>
      <family val="2"/>
    </font>
    <font>
      <sz val="10"/>
      <color indexed="8"/>
      <name val="Arial"/>
      <family val="2"/>
    </font>
    <font>
      <sz val="14"/>
      <name val="Arial"/>
      <family val="2"/>
    </font>
    <font>
      <sz val="14"/>
      <color indexed="8"/>
      <name val="Verdana"/>
      <family val="2"/>
    </font>
    <font>
      <b/>
      <sz val="12"/>
      <color indexed="8"/>
      <name val="Verdana"/>
      <family val="2"/>
    </font>
    <font>
      <b/>
      <sz val="16"/>
      <color indexed="9"/>
      <name val="Arial"/>
      <family val="2"/>
    </font>
    <font>
      <b/>
      <sz val="9"/>
      <color indexed="8"/>
      <name val="Verdana"/>
      <family val="2"/>
    </font>
    <font>
      <b/>
      <sz val="10"/>
      <color indexed="18"/>
      <name val="Verdana"/>
      <family val="2"/>
    </font>
    <font>
      <b/>
      <sz val="10"/>
      <color indexed="18"/>
      <name val="Arial"/>
      <family val="2"/>
    </font>
    <font>
      <b/>
      <sz val="10"/>
      <color indexed="10"/>
      <name val="Arial"/>
      <family val="2"/>
    </font>
    <font>
      <b/>
      <i/>
      <sz val="12"/>
      <name val="Arial"/>
      <family val="2"/>
    </font>
    <font>
      <sz val="12"/>
      <name val="Arial"/>
      <family val="2"/>
    </font>
    <font>
      <b/>
      <sz val="9"/>
      <name val="Verdana"/>
      <family val="2"/>
    </font>
    <font>
      <sz val="10"/>
      <color indexed="18"/>
      <name val="Verdana"/>
      <family val="2"/>
    </font>
    <font>
      <sz val="10"/>
      <color indexed="18"/>
      <name val="Arial"/>
      <family val="2"/>
    </font>
    <font>
      <sz val="11"/>
      <color indexed="18"/>
      <name val="Calibri"/>
      <family val="2"/>
    </font>
    <font>
      <sz val="10"/>
      <color indexed="62"/>
      <name val="Verdana"/>
      <family val="2"/>
    </font>
    <font>
      <b/>
      <sz val="10"/>
      <color indexed="12"/>
      <name val="Arial"/>
      <family val="2"/>
    </font>
    <font>
      <sz val="10"/>
      <color indexed="10"/>
      <name val="Verdana"/>
      <family val="2"/>
    </font>
    <font>
      <b/>
      <i/>
      <sz val="10"/>
      <color indexed="10"/>
      <name val="Arial"/>
      <family val="2"/>
    </font>
    <font>
      <b/>
      <sz val="9"/>
      <color indexed="8"/>
      <name val="Arial"/>
      <family val="2"/>
    </font>
    <font>
      <b/>
      <sz val="10"/>
      <name val="Arial"/>
      <family val="2"/>
    </font>
    <font>
      <b/>
      <sz val="10"/>
      <color indexed="8"/>
      <name val="Arial"/>
      <family val="2"/>
    </font>
    <font>
      <b/>
      <sz val="10"/>
      <color indexed="8"/>
      <name val="Verdana"/>
      <family val="2"/>
    </font>
    <font>
      <b/>
      <i/>
      <sz val="10"/>
      <name val="Arial"/>
      <family val="2"/>
    </font>
    <font>
      <b/>
      <sz val="10"/>
      <color indexed="60"/>
      <name val="Arial"/>
      <family val="2"/>
    </font>
    <font>
      <b/>
      <sz val="10"/>
      <color indexed="56"/>
      <name val="Arial"/>
      <family val="2"/>
    </font>
    <font>
      <b/>
      <sz val="8"/>
      <name val="Arial"/>
      <family val="2"/>
    </font>
    <font>
      <sz val="10"/>
      <color indexed="10"/>
      <name val="Arial"/>
      <family val="2"/>
    </font>
    <font>
      <sz val="10"/>
      <color indexed="56"/>
      <name val="Arial"/>
      <family val="2"/>
    </font>
    <font>
      <sz val="12"/>
      <color indexed="8"/>
      <name val="Verdana"/>
      <family val="2"/>
    </font>
    <font>
      <b/>
      <sz val="12"/>
      <color indexed="56"/>
      <name val="Calibri"/>
      <family val="2"/>
    </font>
    <font>
      <b/>
      <sz val="16"/>
      <color indexed="12"/>
      <name val="Arial"/>
      <family val="2"/>
    </font>
    <font>
      <sz val="9"/>
      <color indexed="23"/>
      <name val="Arial"/>
      <family val="2"/>
    </font>
    <font>
      <b/>
      <sz val="10"/>
      <color indexed="23"/>
      <name val="Arial"/>
      <family val="2"/>
    </font>
    <font>
      <b/>
      <i/>
      <sz val="10"/>
      <color indexed="23"/>
      <name val="Arial"/>
      <family val="2"/>
    </font>
    <font>
      <sz val="9"/>
      <name val="Arial"/>
      <family val="2"/>
    </font>
    <font>
      <b/>
      <sz val="11"/>
      <color indexed="8"/>
      <name val="Calibri"/>
      <family val="2"/>
    </font>
    <font>
      <b/>
      <sz val="11"/>
      <color indexed="56"/>
      <name val="Calibri"/>
      <family val="2"/>
    </font>
    <font>
      <b/>
      <sz val="11"/>
      <name val="Arial"/>
      <family val="2"/>
    </font>
    <font>
      <sz val="10"/>
      <color indexed="12"/>
      <name val="Arial"/>
      <family val="2"/>
    </font>
    <font>
      <b/>
      <u/>
      <sz val="11"/>
      <name val="Calibri"/>
      <family val="2"/>
    </font>
    <font>
      <sz val="11"/>
      <color theme="1"/>
      <name val="Calibri"/>
      <family val="2"/>
      <scheme val="minor"/>
    </font>
    <font>
      <sz val="11"/>
      <color theme="0"/>
      <name val="Calibri"/>
      <family val="2"/>
      <scheme val="minor"/>
    </font>
    <font>
      <b/>
      <sz val="11"/>
      <color theme="1"/>
      <name val="Calibri"/>
      <family val="2"/>
      <scheme val="minor"/>
    </font>
    <font>
      <b/>
      <sz val="12"/>
      <color rgb="FF002060"/>
      <name val="Verdana"/>
      <family val="2"/>
    </font>
    <font>
      <b/>
      <i/>
      <sz val="10"/>
      <color rgb="FFC00000"/>
      <name val="Arial"/>
      <family val="2"/>
    </font>
    <font>
      <sz val="10"/>
      <color theme="1"/>
      <name val="Verdana"/>
      <family val="2"/>
    </font>
    <font>
      <b/>
      <sz val="11"/>
      <color rgb="FFFF0000"/>
      <name val="Calibri"/>
      <family val="2"/>
      <scheme val="minor"/>
    </font>
    <font>
      <b/>
      <sz val="10"/>
      <color theme="7" tint="-0.249977111117893"/>
      <name val="Verdana"/>
      <family val="2"/>
    </font>
    <font>
      <b/>
      <i/>
      <sz val="11"/>
      <color theme="7" tint="-0.249977111117893"/>
      <name val="Verdana"/>
      <family val="2"/>
    </font>
    <font>
      <b/>
      <sz val="10"/>
      <color theme="7" tint="-0.249977111117893"/>
      <name val="Arial"/>
      <family val="2"/>
    </font>
    <font>
      <sz val="11"/>
      <color rgb="FF002060"/>
      <name val="Arial"/>
      <family val="2"/>
    </font>
    <font>
      <b/>
      <sz val="11"/>
      <color rgb="FF002060"/>
      <name val="Calibri"/>
      <family val="2"/>
    </font>
    <font>
      <b/>
      <u/>
      <sz val="11"/>
      <color theme="1"/>
      <name val="Calibri"/>
      <family val="2"/>
      <scheme val="minor"/>
    </font>
    <font>
      <sz val="11"/>
      <name val="Calibri"/>
      <family val="2"/>
      <scheme val="minor"/>
    </font>
    <font>
      <b/>
      <sz val="11"/>
      <name val="Calibri"/>
      <family val="2"/>
      <scheme val="minor"/>
    </font>
    <font>
      <b/>
      <i/>
      <sz val="11"/>
      <color rgb="FFC00000"/>
      <name val="Calibri"/>
      <family val="2"/>
      <scheme val="minor"/>
    </font>
    <font>
      <sz val="9"/>
      <color rgb="FF7030A0"/>
      <name val="Calibri"/>
      <family val="2"/>
      <scheme val="minor"/>
    </font>
    <font>
      <b/>
      <sz val="14"/>
      <color rgb="FF7030A0"/>
      <name val="Calibri"/>
      <family val="2"/>
      <scheme val="minor"/>
    </font>
    <font>
      <sz val="11"/>
      <color rgb="FFC00000"/>
      <name val="Calibri"/>
      <family val="2"/>
      <scheme val="minor"/>
    </font>
    <font>
      <sz val="11"/>
      <color rgb="FFC00000"/>
      <name val="Calibri"/>
      <family val="2"/>
    </font>
    <font>
      <b/>
      <sz val="11"/>
      <color theme="0"/>
      <name val="Calibri"/>
      <family val="2"/>
    </font>
    <font>
      <b/>
      <sz val="11"/>
      <color theme="1"/>
      <name val="Calibri"/>
      <family val="2"/>
    </font>
    <font>
      <b/>
      <sz val="11"/>
      <color rgb="FFC00000"/>
      <name val="Calibri"/>
      <family val="2"/>
    </font>
    <font>
      <b/>
      <sz val="11"/>
      <color rgb="FFFF0000"/>
      <name val="Calibri"/>
      <family val="2"/>
    </font>
    <font>
      <sz val="11"/>
      <color theme="1"/>
      <name val="Calibri"/>
      <family val="2"/>
    </font>
    <font>
      <b/>
      <sz val="11"/>
      <color rgb="FF5A038F"/>
      <name val="Calibri"/>
      <family val="2"/>
    </font>
    <font>
      <sz val="11"/>
      <color theme="0"/>
      <name val="Calibri"/>
      <family val="2"/>
    </font>
    <font>
      <b/>
      <sz val="11"/>
      <color rgb="FF002060"/>
      <name val="Calibri"/>
      <family val="2"/>
      <scheme val="minor"/>
    </font>
    <font>
      <b/>
      <sz val="12"/>
      <color theme="7" tint="-0.249977111117893"/>
      <name val="Arial"/>
      <family val="2"/>
    </font>
    <font>
      <b/>
      <i/>
      <sz val="12"/>
      <color theme="7" tint="-0.249977111117893"/>
      <name val="Calibri"/>
      <family val="2"/>
      <scheme val="minor"/>
    </font>
    <font>
      <b/>
      <i/>
      <sz val="10"/>
      <color rgb="FFFF0000"/>
      <name val="Arial"/>
      <family val="2"/>
    </font>
    <font>
      <i/>
      <sz val="10"/>
      <color rgb="FF002060"/>
      <name val="Arial"/>
      <family val="2"/>
    </font>
    <font>
      <i/>
      <sz val="11"/>
      <color rgb="FF002060"/>
      <name val="Calibri"/>
      <family val="2"/>
      <scheme val="minor"/>
    </font>
    <font>
      <b/>
      <i/>
      <sz val="10"/>
      <color rgb="FF002060"/>
      <name val="Arial"/>
      <family val="2"/>
    </font>
    <font>
      <b/>
      <sz val="12"/>
      <color rgb="FF002060"/>
      <name val="Arial"/>
      <family val="2"/>
    </font>
    <font>
      <sz val="10"/>
      <color theme="7" tint="-0.249977111117893"/>
      <name val="Arial"/>
      <family val="2"/>
    </font>
    <font>
      <b/>
      <sz val="10"/>
      <color rgb="FF002060"/>
      <name val="Arial"/>
      <family val="2"/>
    </font>
    <font>
      <b/>
      <sz val="12"/>
      <color rgb="FFC00000"/>
      <name val="Verdana"/>
      <family val="2"/>
    </font>
    <font>
      <sz val="10"/>
      <color theme="1"/>
      <name val="Arial"/>
      <family val="2"/>
    </font>
    <font>
      <b/>
      <sz val="10"/>
      <color theme="1"/>
      <name val="Calibri"/>
      <family val="2"/>
      <scheme val="minor"/>
    </font>
    <font>
      <sz val="10"/>
      <name val="Arial"/>
      <family val="2"/>
    </font>
    <font>
      <b/>
      <sz val="12"/>
      <color rgb="FFFFFF00"/>
      <name val="Arial"/>
      <family val="2"/>
    </font>
    <font>
      <sz val="16"/>
      <color rgb="FF7030A0"/>
      <name val="Arial"/>
      <family val="2"/>
    </font>
    <font>
      <b/>
      <sz val="12"/>
      <color rgb="FFC00000"/>
      <name val="Calibri"/>
      <family val="2"/>
      <scheme val="minor"/>
    </font>
    <font>
      <i/>
      <sz val="10"/>
      <color rgb="FFC00000"/>
      <name val="Calibri"/>
      <family val="2"/>
      <scheme val="minor"/>
    </font>
    <font>
      <b/>
      <sz val="14"/>
      <color rgb="FFC00000"/>
      <name val="Calibri"/>
      <family val="2"/>
      <scheme val="minor"/>
    </font>
  </fonts>
  <fills count="26">
    <fill>
      <patternFill patternType="none"/>
    </fill>
    <fill>
      <patternFill patternType="gray125"/>
    </fill>
    <fill>
      <patternFill patternType="solid">
        <fgColor indexed="47"/>
        <bgColor indexed="64"/>
      </patternFill>
    </fill>
    <fill>
      <patternFill patternType="solid">
        <fgColor indexed="28"/>
        <bgColor indexed="64"/>
      </patternFill>
    </fill>
    <fill>
      <patternFill patternType="solid">
        <fgColor indexed="2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indexed="9"/>
        <bgColor indexed="64"/>
      </patternFill>
    </fill>
    <fill>
      <patternFill patternType="solid">
        <fgColor indexed="55"/>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1" tint="0.34998626667073579"/>
        <bgColor indexed="64"/>
      </patternFill>
    </fill>
  </fills>
  <borders count="73">
    <border>
      <left/>
      <right/>
      <top/>
      <bottom/>
      <diagonal/>
    </border>
    <border>
      <left/>
      <right/>
      <top/>
      <bottom style="thick">
        <color indexed="22"/>
      </bottom>
      <diagonal/>
    </border>
    <border>
      <left style="thick">
        <color indexed="53"/>
      </left>
      <right style="thick">
        <color indexed="53"/>
      </right>
      <top style="thick">
        <color indexed="53"/>
      </top>
      <bottom/>
      <diagonal/>
    </border>
    <border>
      <left/>
      <right style="thick">
        <color indexed="53"/>
      </right>
      <top style="thick">
        <color indexed="53"/>
      </top>
      <bottom/>
      <diagonal/>
    </border>
    <border>
      <left style="thick">
        <color indexed="53"/>
      </left>
      <right style="thick">
        <color indexed="53"/>
      </right>
      <top/>
      <bottom/>
      <diagonal/>
    </border>
    <border>
      <left/>
      <right style="thick">
        <color indexed="53"/>
      </right>
      <top/>
      <bottom/>
      <diagonal/>
    </border>
    <border>
      <left style="thick">
        <color indexed="29"/>
      </left>
      <right/>
      <top style="thick">
        <color indexed="29"/>
      </top>
      <bottom style="thick">
        <color indexed="29"/>
      </bottom>
      <diagonal/>
    </border>
    <border>
      <left/>
      <right/>
      <top style="thick">
        <color indexed="29"/>
      </top>
      <bottom style="thick">
        <color indexed="29"/>
      </bottom>
      <diagonal/>
    </border>
    <border>
      <left/>
      <right style="thick">
        <color indexed="29"/>
      </right>
      <top style="thick">
        <color indexed="29"/>
      </top>
      <bottom style="thick">
        <color indexed="29"/>
      </bottom>
      <diagonal/>
    </border>
    <border>
      <left style="thick">
        <color indexed="29"/>
      </left>
      <right style="thick">
        <color indexed="22"/>
      </right>
      <top/>
      <bottom style="thick">
        <color indexed="22"/>
      </bottom>
      <diagonal/>
    </border>
    <border>
      <left style="thick">
        <color indexed="53"/>
      </left>
      <right/>
      <top style="thick">
        <color indexed="53"/>
      </top>
      <bottom style="thick">
        <color indexed="53"/>
      </bottom>
      <diagonal/>
    </border>
    <border>
      <left/>
      <right style="thick">
        <color indexed="53"/>
      </right>
      <top style="thick">
        <color indexed="53"/>
      </top>
      <bottom style="thick">
        <color indexed="53"/>
      </bottom>
      <diagonal/>
    </border>
    <border>
      <left/>
      <right/>
      <top style="thick">
        <color indexed="53"/>
      </top>
      <bottom style="thick">
        <color indexed="53"/>
      </bottom>
      <diagonal/>
    </border>
    <border>
      <left style="thick">
        <color indexed="53"/>
      </left>
      <right style="thick">
        <color indexed="53"/>
      </right>
      <top/>
      <bottom style="thick">
        <color indexed="53"/>
      </bottom>
      <diagonal/>
    </border>
    <border>
      <left style="thick">
        <color indexed="53"/>
      </left>
      <right/>
      <top/>
      <bottom style="thick">
        <color indexed="53"/>
      </bottom>
      <diagonal/>
    </border>
    <border>
      <left/>
      <right style="thick">
        <color indexed="53"/>
      </right>
      <top/>
      <bottom style="thick">
        <color indexed="53"/>
      </bottom>
      <diagonal/>
    </border>
    <border>
      <left style="thick">
        <color indexed="29"/>
      </left>
      <right/>
      <top style="thick">
        <color indexed="29"/>
      </top>
      <bottom/>
      <diagonal/>
    </border>
    <border>
      <left/>
      <right/>
      <top style="thick">
        <color indexed="29"/>
      </top>
      <bottom/>
      <diagonal/>
    </border>
    <border>
      <left style="thick">
        <color indexed="53"/>
      </left>
      <right/>
      <top/>
      <bottom/>
      <diagonal/>
    </border>
    <border>
      <left/>
      <right style="thick">
        <color indexed="29"/>
      </right>
      <top style="thick">
        <color indexed="29"/>
      </top>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9"/>
      </left>
      <right/>
      <top/>
      <bottom/>
      <diagonal/>
    </border>
    <border>
      <left/>
      <right style="thick">
        <color indexed="29"/>
      </right>
      <top/>
      <bottom/>
      <diagonal/>
    </border>
    <border>
      <left style="thick">
        <color indexed="22"/>
      </left>
      <right/>
      <top/>
      <bottom/>
      <diagonal/>
    </border>
    <border>
      <left/>
      <right style="thick">
        <color indexed="22"/>
      </right>
      <top/>
      <bottom/>
      <diagonal/>
    </border>
    <border>
      <left/>
      <right/>
      <top/>
      <bottom style="thick">
        <color indexed="29"/>
      </bottom>
      <diagonal/>
    </border>
    <border>
      <left style="thick">
        <color indexed="29"/>
      </left>
      <right/>
      <top/>
      <bottom style="thick">
        <color indexed="29"/>
      </bottom>
      <diagonal/>
    </border>
    <border>
      <left/>
      <right style="thick">
        <color indexed="29"/>
      </right>
      <top/>
      <bottom style="thick">
        <color indexed="29"/>
      </bottom>
      <diagonal/>
    </border>
    <border>
      <left style="thick">
        <color indexed="22"/>
      </left>
      <right/>
      <top/>
      <bottom style="thick">
        <color indexed="22"/>
      </bottom>
      <diagonal/>
    </border>
    <border>
      <left/>
      <right style="thick">
        <color indexed="22"/>
      </right>
      <top/>
      <bottom style="thick">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22"/>
      </left>
      <right style="thick">
        <color indexed="22"/>
      </right>
      <top style="thick">
        <color indexed="22"/>
      </top>
      <bottom/>
      <diagonal/>
    </border>
    <border>
      <left style="thick">
        <color indexed="22"/>
      </left>
      <right style="thick">
        <color indexed="22"/>
      </right>
      <top/>
      <bottom/>
      <diagonal/>
    </border>
    <border>
      <left style="thick">
        <color indexed="22"/>
      </left>
      <right style="thick">
        <color indexed="22"/>
      </right>
      <top/>
      <bottom style="thick">
        <color indexed="22"/>
      </bottom>
      <diagonal/>
    </border>
    <border>
      <left style="thick">
        <color indexed="29"/>
      </left>
      <right style="thick">
        <color indexed="29"/>
      </right>
      <top style="thick">
        <color indexed="29"/>
      </top>
      <bottom/>
      <diagonal/>
    </border>
    <border>
      <left style="thick">
        <color indexed="29"/>
      </left>
      <right style="thick">
        <color indexed="29"/>
      </right>
      <top/>
      <bottom/>
      <diagonal/>
    </border>
    <border>
      <left style="thick">
        <color indexed="29"/>
      </left>
      <right style="thick">
        <color indexed="29"/>
      </right>
      <top/>
      <bottom style="thick">
        <color indexed="29"/>
      </bottom>
      <diagonal/>
    </border>
    <border>
      <left/>
      <right/>
      <top style="thick">
        <color indexed="53"/>
      </top>
      <bottom/>
      <diagonal/>
    </border>
    <border>
      <left/>
      <right/>
      <top/>
      <bottom style="thick">
        <color indexed="5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0"/>
      </left>
      <right/>
      <top style="medium">
        <color indexed="10"/>
      </top>
      <bottom style="medium">
        <color indexed="10"/>
      </bottom>
      <diagonal/>
    </border>
    <border>
      <left/>
      <right/>
      <top style="medium">
        <color indexed="10"/>
      </top>
      <bottom style="medium">
        <color indexed="10"/>
      </bottom>
      <diagonal/>
    </border>
    <border>
      <left/>
      <right style="medium">
        <color indexed="10"/>
      </right>
      <top style="medium">
        <color indexed="10"/>
      </top>
      <bottom style="medium">
        <color indexed="10"/>
      </bottom>
      <diagonal/>
    </border>
    <border>
      <left style="thick">
        <color indexed="53"/>
      </left>
      <right/>
      <top style="thick">
        <color indexed="53"/>
      </top>
      <bottom/>
      <diagonal/>
    </border>
    <border>
      <left style="thick">
        <color indexed="22"/>
      </left>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s>
  <cellStyleXfs count="367">
    <xf numFmtId="0" fontId="0" fillId="0" borderId="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1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3"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5"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15" fillId="0" borderId="0" applyFont="0" applyFill="0" applyBorder="0" applyAlignment="0" applyProtection="0"/>
    <xf numFmtId="9" fontId="3" fillId="0" borderId="0" applyFont="0" applyFill="0" applyBorder="0" applyAlignment="0" applyProtection="0"/>
  </cellStyleXfs>
  <cellXfs count="605">
    <xf numFmtId="0" fontId="0" fillId="0" borderId="0" xfId="0"/>
    <xf numFmtId="0" fontId="7" fillId="0" borderId="0" xfId="0" applyFont="1"/>
    <xf numFmtId="0" fontId="11" fillId="0" borderId="0" xfId="99"/>
    <xf numFmtId="14" fontId="11" fillId="0" borderId="0" xfId="99" applyNumberFormat="1" applyAlignment="1">
      <alignment horizontal="center"/>
    </xf>
    <xf numFmtId="14" fontId="11" fillId="0" borderId="0" xfId="99" applyNumberFormat="1"/>
    <xf numFmtId="0" fontId="11" fillId="0" borderId="0" xfId="99" applyAlignment="1">
      <alignment horizontal="center"/>
    </xf>
    <xf numFmtId="0" fontId="11" fillId="0" borderId="2" xfId="99" applyBorder="1"/>
    <xf numFmtId="0" fontId="11" fillId="0" borderId="3" xfId="99" applyBorder="1"/>
    <xf numFmtId="0" fontId="11" fillId="0" borderId="4" xfId="99" applyBorder="1"/>
    <xf numFmtId="0" fontId="11" fillId="0" borderId="5" xfId="99" applyBorder="1"/>
    <xf numFmtId="0" fontId="11" fillId="2" borderId="6" xfId="99" applyFill="1" applyBorder="1"/>
    <xf numFmtId="0" fontId="11" fillId="2" borderId="7" xfId="99" applyFill="1" applyBorder="1" applyAlignment="1">
      <alignment horizontal="center"/>
    </xf>
    <xf numFmtId="0" fontId="11" fillId="2" borderId="7" xfId="99" applyFill="1" applyBorder="1"/>
    <xf numFmtId="0" fontId="11" fillId="2" borderId="8" xfId="99" applyFill="1" applyBorder="1"/>
    <xf numFmtId="0" fontId="15" fillId="0" borderId="9" xfId="99" applyFont="1" applyBorder="1" applyAlignment="1">
      <alignment horizontal="center"/>
    </xf>
    <xf numFmtId="0" fontId="11" fillId="0" borderId="10" xfId="99" applyBorder="1"/>
    <xf numFmtId="0" fontId="11" fillId="0" borderId="11" xfId="99" applyBorder="1"/>
    <xf numFmtId="0" fontId="11" fillId="0" borderId="12" xfId="99" applyBorder="1"/>
    <xf numFmtId="0" fontId="11" fillId="0" borderId="13" xfId="99" applyBorder="1"/>
    <xf numFmtId="0" fontId="11" fillId="0" borderId="14" xfId="99" applyBorder="1"/>
    <xf numFmtId="0" fontId="11" fillId="0" borderId="15" xfId="99" applyBorder="1"/>
    <xf numFmtId="0" fontId="11" fillId="2" borderId="16" xfId="99" applyFill="1" applyBorder="1" applyAlignment="1">
      <alignment horizontal="center"/>
    </xf>
    <xf numFmtId="0" fontId="11" fillId="2" borderId="17" xfId="99" applyFill="1" applyBorder="1" applyAlignment="1">
      <alignment horizontal="center"/>
    </xf>
    <xf numFmtId="0" fontId="15" fillId="0" borderId="0" xfId="99" applyFont="1" applyAlignment="1">
      <alignment horizontal="center"/>
    </xf>
    <xf numFmtId="165" fontId="11" fillId="0" borderId="18" xfId="2" applyNumberFormat="1" applyBorder="1"/>
    <xf numFmtId="165" fontId="11" fillId="0" borderId="5" xfId="2" applyNumberFormat="1" applyBorder="1"/>
    <xf numFmtId="165" fontId="11" fillId="0" borderId="0" xfId="2" applyNumberFormat="1"/>
    <xf numFmtId="165" fontId="11" fillId="0" borderId="4" xfId="2" applyNumberFormat="1" applyBorder="1"/>
    <xf numFmtId="14" fontId="0" fillId="0" borderId="0" xfId="0" applyNumberFormat="1"/>
    <xf numFmtId="165" fontId="11" fillId="0" borderId="4" xfId="99" applyNumberFormat="1" applyBorder="1"/>
    <xf numFmtId="0" fontId="11" fillId="2" borderId="16" xfId="99" applyFill="1" applyBorder="1"/>
    <xf numFmtId="14" fontId="11" fillId="0" borderId="17" xfId="99" applyNumberFormat="1" applyBorder="1" applyAlignment="1">
      <alignment horizontal="center"/>
    </xf>
    <xf numFmtId="165" fontId="11" fillId="0" borderId="17" xfId="1" applyNumberFormat="1" applyFont="1" applyBorder="1" applyAlignment="1">
      <alignment horizontal="center"/>
    </xf>
    <xf numFmtId="165" fontId="11" fillId="0" borderId="19" xfId="1" applyNumberFormat="1" applyFont="1" applyBorder="1" applyAlignment="1">
      <alignment horizontal="center"/>
    </xf>
    <xf numFmtId="0" fontId="11" fillId="3" borderId="20" xfId="99" applyFill="1" applyBorder="1"/>
    <xf numFmtId="14" fontId="11" fillId="0" borderId="21" xfId="99" applyNumberFormat="1" applyBorder="1" applyAlignment="1">
      <alignment horizontal="center"/>
    </xf>
    <xf numFmtId="165" fontId="11" fillId="0" borderId="21" xfId="1" applyNumberFormat="1" applyFont="1" applyBorder="1" applyAlignment="1">
      <alignment horizontal="center"/>
    </xf>
    <xf numFmtId="165" fontId="11" fillId="0" borderId="22" xfId="1" applyNumberFormat="1" applyFont="1" applyBorder="1" applyAlignment="1">
      <alignment horizontal="center"/>
    </xf>
    <xf numFmtId="0" fontId="17" fillId="0" borderId="0" xfId="99" applyFont="1"/>
    <xf numFmtId="0" fontId="11" fillId="2" borderId="23" xfId="99" applyFill="1" applyBorder="1"/>
    <xf numFmtId="165" fontId="11" fillId="0" borderId="0" xfId="1" applyNumberFormat="1" applyFont="1" applyAlignment="1">
      <alignment horizontal="center"/>
    </xf>
    <xf numFmtId="165" fontId="11" fillId="0" borderId="24" xfId="1" applyNumberFormat="1" applyFont="1" applyBorder="1" applyAlignment="1">
      <alignment horizontal="center"/>
    </xf>
    <xf numFmtId="0" fontId="11" fillId="3" borderId="25" xfId="99" applyFill="1" applyBorder="1"/>
    <xf numFmtId="165" fontId="11" fillId="0" borderId="26" xfId="1" applyNumberFormat="1" applyFont="1" applyBorder="1" applyAlignment="1">
      <alignment horizontal="center"/>
    </xf>
    <xf numFmtId="0" fontId="18" fillId="0" borderId="0" xfId="99" applyFont="1" applyAlignment="1">
      <alignment horizontal="center"/>
    </xf>
    <xf numFmtId="0" fontId="11" fillId="4" borderId="16" xfId="99" applyFill="1" applyBorder="1"/>
    <xf numFmtId="165" fontId="11" fillId="3" borderId="0" xfId="1" applyNumberFormat="1" applyFont="1" applyFill="1"/>
    <xf numFmtId="165" fontId="11" fillId="2" borderId="0" xfId="1" applyNumberFormat="1" applyFont="1" applyFill="1"/>
    <xf numFmtId="14" fontId="11" fillId="0" borderId="27" xfId="99" applyNumberFormat="1" applyBorder="1" applyAlignment="1">
      <alignment horizontal="center"/>
    </xf>
    <xf numFmtId="0" fontId="11" fillId="0" borderId="23" xfId="99" applyBorder="1"/>
    <xf numFmtId="165" fontId="11" fillId="0" borderId="0" xfId="1" applyNumberFormat="1" applyFont="1"/>
    <xf numFmtId="165" fontId="11" fillId="0" borderId="24" xfId="1" applyNumberFormat="1" applyFont="1" applyBorder="1"/>
    <xf numFmtId="0" fontId="11" fillId="0" borderId="25" xfId="99" applyBorder="1"/>
    <xf numFmtId="165" fontId="11" fillId="0" borderId="26" xfId="1" applyNumberFormat="1" applyFont="1" applyBorder="1"/>
    <xf numFmtId="0" fontId="12" fillId="0" borderId="0" xfId="99" applyFont="1"/>
    <xf numFmtId="0" fontId="11" fillId="0" borderId="24" xfId="99" applyBorder="1"/>
    <xf numFmtId="0" fontId="11" fillId="0" borderId="26" xfId="99" applyBorder="1"/>
    <xf numFmtId="0" fontId="11" fillId="0" borderId="28" xfId="99" applyBorder="1"/>
    <xf numFmtId="14" fontId="11" fillId="0" borderId="27" xfId="99" applyNumberFormat="1" applyBorder="1"/>
    <xf numFmtId="165" fontId="11" fillId="0" borderId="29" xfId="99" applyNumberFormat="1" applyBorder="1"/>
    <xf numFmtId="0" fontId="11" fillId="0" borderId="30" xfId="99" applyBorder="1"/>
    <xf numFmtId="14" fontId="11" fillId="0" borderId="1" xfId="99" applyNumberFormat="1" applyBorder="1" applyAlignment="1">
      <alignment horizontal="center"/>
    </xf>
    <xf numFmtId="0" fontId="11" fillId="0" borderId="1" xfId="99" applyBorder="1"/>
    <xf numFmtId="0" fontId="11" fillId="0" borderId="31" xfId="99" applyBorder="1"/>
    <xf numFmtId="0" fontId="19" fillId="0" borderId="0" xfId="99" applyFont="1"/>
    <xf numFmtId="0" fontId="19" fillId="0" borderId="0" xfId="99" applyFont="1" applyAlignment="1">
      <alignment horizontal="center"/>
    </xf>
    <xf numFmtId="14" fontId="19" fillId="0" borderId="0" xfId="99" applyNumberFormat="1" applyFont="1"/>
    <xf numFmtId="43" fontId="11" fillId="0" borderId="0" xfId="1" applyFont="1"/>
    <xf numFmtId="0" fontId="20" fillId="0" borderId="0" xfId="99" applyFont="1"/>
    <xf numFmtId="49" fontId="11" fillId="0" borderId="0" xfId="99" applyNumberFormat="1"/>
    <xf numFmtId="14" fontId="11" fillId="5" borderId="0" xfId="99" applyNumberFormat="1" applyFill="1"/>
    <xf numFmtId="0" fontId="11" fillId="6" borderId="0" xfId="99" applyFill="1" applyAlignment="1">
      <alignment horizontal="center"/>
    </xf>
    <xf numFmtId="168" fontId="11" fillId="0" borderId="0" xfId="138" applyNumberFormat="1"/>
    <xf numFmtId="43" fontId="15" fillId="0" borderId="0" xfId="99" applyNumberFormat="1" applyFont="1"/>
    <xf numFmtId="0" fontId="16" fillId="2" borderId="0" xfId="99" applyFont="1" applyFill="1"/>
    <xf numFmtId="0" fontId="14" fillId="3" borderId="0" xfId="99" applyFont="1" applyFill="1"/>
    <xf numFmtId="43" fontId="16" fillId="2" borderId="0" xfId="99" applyNumberFormat="1" applyFont="1" applyFill="1" applyAlignment="1">
      <alignment horizontal="center"/>
    </xf>
    <xf numFmtId="43" fontId="14" fillId="3" borderId="0" xfId="99" applyNumberFormat="1" applyFont="1" applyFill="1"/>
    <xf numFmtId="0" fontId="16" fillId="2" borderId="0" xfId="99" applyFont="1" applyFill="1" applyAlignment="1">
      <alignment horizontal="right"/>
    </xf>
    <xf numFmtId="165" fontId="16" fillId="2" borderId="0" xfId="2" applyNumberFormat="1" applyFont="1" applyFill="1" applyAlignment="1">
      <alignment horizontal="center"/>
    </xf>
    <xf numFmtId="165" fontId="16" fillId="2" borderId="0" xfId="2" applyNumberFormat="1" applyFont="1" applyFill="1"/>
    <xf numFmtId="0" fontId="14" fillId="3" borderId="0" xfId="99" applyFont="1" applyFill="1" applyAlignment="1">
      <alignment horizontal="right"/>
    </xf>
    <xf numFmtId="165" fontId="14" fillId="3" borderId="0" xfId="2" applyNumberFormat="1" applyFont="1" applyFill="1"/>
    <xf numFmtId="0" fontId="16" fillId="2" borderId="0" xfId="99" applyFont="1" applyFill="1" applyAlignment="1">
      <alignment horizontal="center" wrapText="1"/>
    </xf>
    <xf numFmtId="43" fontId="16" fillId="2" borderId="0" xfId="1" applyFont="1" applyFill="1" applyAlignment="1">
      <alignment horizontal="center"/>
    </xf>
    <xf numFmtId="0" fontId="16" fillId="4" borderId="0" xfId="99" applyFont="1" applyFill="1"/>
    <xf numFmtId="43" fontId="16" fillId="4" borderId="0" xfId="1" applyFont="1" applyFill="1" applyAlignment="1">
      <alignment horizontal="center"/>
    </xf>
    <xf numFmtId="0" fontId="14" fillId="6" borderId="0" xfId="99" applyFont="1" applyFill="1"/>
    <xf numFmtId="43" fontId="21" fillId="6" borderId="0" xfId="1" applyFont="1" applyFill="1" applyAlignment="1">
      <alignment horizontal="center"/>
    </xf>
    <xf numFmtId="0" fontId="14" fillId="7" borderId="0" xfId="99" applyFont="1" applyFill="1"/>
    <xf numFmtId="43" fontId="21" fillId="8" borderId="0" xfId="1" applyFont="1" applyFill="1" applyAlignment="1">
      <alignment horizontal="center"/>
    </xf>
    <xf numFmtId="0" fontId="16" fillId="0" borderId="0" xfId="99" applyFont="1"/>
    <xf numFmtId="43" fontId="16" fillId="0" borderId="0" xfId="1" applyFont="1" applyAlignment="1">
      <alignment horizontal="center"/>
    </xf>
    <xf numFmtId="0" fontId="14" fillId="0" borderId="0" xfId="99" applyFont="1"/>
    <xf numFmtId="43" fontId="21" fillId="0" borderId="0" xfId="1" applyFont="1" applyAlignment="1">
      <alignment horizontal="center"/>
    </xf>
    <xf numFmtId="43" fontId="16" fillId="2" borderId="0" xfId="99" applyNumberFormat="1" applyFont="1" applyFill="1"/>
    <xf numFmtId="14" fontId="11" fillId="2" borderId="32" xfId="99" applyNumberFormat="1" applyFill="1" applyBorder="1" applyAlignment="1">
      <alignment horizontal="center"/>
    </xf>
    <xf numFmtId="14" fontId="11" fillId="2" borderId="33" xfId="99" applyNumberFormat="1" applyFill="1" applyBorder="1" applyAlignment="1">
      <alignment horizontal="center"/>
    </xf>
    <xf numFmtId="14" fontId="11" fillId="2" borderId="34" xfId="99" applyNumberFormat="1" applyFill="1" applyBorder="1" applyAlignment="1">
      <alignment horizontal="center"/>
    </xf>
    <xf numFmtId="14" fontId="11" fillId="2" borderId="35" xfId="99" applyNumberFormat="1" applyFill="1" applyBorder="1" applyAlignment="1">
      <alignment horizontal="center"/>
    </xf>
    <xf numFmtId="14" fontId="11" fillId="2" borderId="0" xfId="99" applyNumberFormat="1" applyFill="1" applyAlignment="1">
      <alignment horizontal="center"/>
    </xf>
    <xf numFmtId="14" fontId="11" fillId="2" borderId="36" xfId="99" applyNumberFormat="1" applyFill="1" applyBorder="1" applyAlignment="1">
      <alignment horizontal="center"/>
    </xf>
    <xf numFmtId="168" fontId="11" fillId="0" borderId="0" xfId="99" applyNumberFormat="1"/>
    <xf numFmtId="14" fontId="11" fillId="2" borderId="37" xfId="99" applyNumberFormat="1" applyFill="1" applyBorder="1" applyAlignment="1">
      <alignment horizontal="center"/>
    </xf>
    <xf numFmtId="14" fontId="11" fillId="2" borderId="38" xfId="99" applyNumberFormat="1" applyFill="1" applyBorder="1" applyAlignment="1">
      <alignment horizontal="center"/>
    </xf>
    <xf numFmtId="14" fontId="11" fillId="2" borderId="39" xfId="99" applyNumberFormat="1" applyFill="1" applyBorder="1" applyAlignment="1">
      <alignment horizontal="center"/>
    </xf>
    <xf numFmtId="14" fontId="11" fillId="3" borderId="32" xfId="99" applyNumberFormat="1" applyFill="1" applyBorder="1" applyAlignment="1">
      <alignment horizontal="center"/>
    </xf>
    <xf numFmtId="14" fontId="11" fillId="3" borderId="33" xfId="99" applyNumberFormat="1" applyFill="1" applyBorder="1" applyAlignment="1">
      <alignment horizontal="center"/>
    </xf>
    <xf numFmtId="14" fontId="11" fillId="3" borderId="34" xfId="99" applyNumberFormat="1" applyFill="1" applyBorder="1" applyAlignment="1">
      <alignment horizontal="center"/>
    </xf>
    <xf numFmtId="14" fontId="11" fillId="3" borderId="35" xfId="99" applyNumberFormat="1" applyFill="1" applyBorder="1" applyAlignment="1">
      <alignment horizontal="center"/>
    </xf>
    <xf numFmtId="14" fontId="11" fillId="3" borderId="0" xfId="99" applyNumberFormat="1" applyFill="1" applyAlignment="1">
      <alignment horizontal="center"/>
    </xf>
    <xf numFmtId="14" fontId="11" fillId="3" borderId="36" xfId="99" applyNumberFormat="1" applyFill="1" applyBorder="1" applyAlignment="1">
      <alignment horizontal="center"/>
    </xf>
    <xf numFmtId="165" fontId="11" fillId="0" borderId="0" xfId="99" applyNumberFormat="1"/>
    <xf numFmtId="43" fontId="11" fillId="0" borderId="0" xfId="99" applyNumberFormat="1"/>
    <xf numFmtId="14" fontId="11" fillId="3" borderId="37" xfId="99" applyNumberFormat="1" applyFill="1" applyBorder="1" applyAlignment="1">
      <alignment horizontal="center"/>
    </xf>
    <xf numFmtId="14" fontId="11" fillId="3" borderId="38" xfId="99" applyNumberFormat="1" applyFill="1" applyBorder="1" applyAlignment="1">
      <alignment horizontal="center"/>
    </xf>
    <xf numFmtId="14" fontId="11" fillId="3" borderId="39" xfId="99" applyNumberFormat="1" applyFill="1" applyBorder="1" applyAlignment="1">
      <alignment horizontal="center"/>
    </xf>
    <xf numFmtId="165" fontId="11" fillId="0" borderId="14" xfId="2" applyNumberFormat="1" applyBorder="1"/>
    <xf numFmtId="165" fontId="11" fillId="0" borderId="15" xfId="2" applyNumberFormat="1" applyBorder="1"/>
    <xf numFmtId="165" fontId="11" fillId="0" borderId="13" xfId="2" applyNumberFormat="1" applyBorder="1"/>
    <xf numFmtId="165" fontId="11" fillId="0" borderId="13" xfId="99" applyNumberFormat="1" applyBorder="1"/>
    <xf numFmtId="165" fontId="11" fillId="7" borderId="0" xfId="99" applyNumberFormat="1" applyFill="1"/>
    <xf numFmtId="0" fontId="11" fillId="3" borderId="21" xfId="99" applyFill="1" applyBorder="1" applyAlignment="1">
      <alignment horizontal="center"/>
    </xf>
    <xf numFmtId="0" fontId="11" fillId="3" borderId="20" xfId="99" applyFill="1" applyBorder="1" applyAlignment="1">
      <alignment horizontal="center"/>
    </xf>
    <xf numFmtId="0" fontId="11" fillId="3" borderId="22" xfId="99" applyFill="1" applyBorder="1" applyAlignment="1">
      <alignment horizontal="center"/>
    </xf>
    <xf numFmtId="0" fontId="11" fillId="6" borderId="20" xfId="99" applyFill="1" applyBorder="1"/>
    <xf numFmtId="165" fontId="11" fillId="0" borderId="0" xfId="99" applyNumberFormat="1" applyAlignment="1">
      <alignment horizontal="center"/>
    </xf>
    <xf numFmtId="0" fontId="25" fillId="9" borderId="0" xfId="99" applyFont="1" applyFill="1"/>
    <xf numFmtId="0" fontId="25" fillId="9" borderId="0" xfId="99" applyFont="1" applyFill="1" applyAlignment="1">
      <alignment horizontal="center"/>
    </xf>
    <xf numFmtId="0" fontId="24" fillId="0" borderId="0" xfId="59" applyFont="1" applyAlignment="1">
      <alignment horizontal="center"/>
    </xf>
    <xf numFmtId="0" fontId="75" fillId="0" borderId="0" xfId="59"/>
    <xf numFmtId="0" fontId="75" fillId="0" borderId="32" xfId="59" applyBorder="1" applyAlignment="1">
      <alignment horizontal="center"/>
    </xf>
    <xf numFmtId="0" fontId="75" fillId="0" borderId="0" xfId="59" applyAlignment="1">
      <alignment horizontal="center"/>
    </xf>
    <xf numFmtId="0" fontId="75" fillId="0" borderId="33" xfId="59" applyBorder="1" applyAlignment="1">
      <alignment horizontal="center"/>
    </xf>
    <xf numFmtId="0" fontId="75" fillId="0" borderId="34" xfId="59" applyBorder="1" applyAlignment="1">
      <alignment horizontal="center"/>
    </xf>
    <xf numFmtId="0" fontId="75" fillId="0" borderId="35" xfId="59" applyBorder="1" applyAlignment="1">
      <alignment horizontal="center"/>
    </xf>
    <xf numFmtId="0" fontId="75" fillId="0" borderId="36" xfId="59" applyBorder="1" applyAlignment="1">
      <alignment horizontal="center"/>
    </xf>
    <xf numFmtId="0" fontId="75" fillId="0" borderId="37" xfId="59" applyBorder="1" applyAlignment="1">
      <alignment horizontal="center"/>
    </xf>
    <xf numFmtId="0" fontId="75" fillId="0" borderId="38" xfId="59" applyBorder="1" applyAlignment="1">
      <alignment horizontal="center"/>
    </xf>
    <xf numFmtId="0" fontId="75" fillId="0" borderId="39" xfId="59" applyBorder="1" applyAlignment="1">
      <alignment horizontal="center"/>
    </xf>
    <xf numFmtId="14" fontId="75" fillId="3" borderId="32" xfId="59" applyNumberFormat="1" applyFill="1" applyBorder="1" applyAlignment="1">
      <alignment horizontal="center"/>
    </xf>
    <xf numFmtId="14" fontId="75" fillId="3" borderId="33" xfId="59" applyNumberFormat="1" applyFill="1" applyBorder="1" applyAlignment="1">
      <alignment horizontal="center"/>
    </xf>
    <xf numFmtId="14" fontId="75" fillId="3" borderId="34" xfId="59" applyNumberFormat="1" applyFill="1" applyBorder="1" applyAlignment="1">
      <alignment horizontal="center"/>
    </xf>
    <xf numFmtId="14" fontId="75" fillId="3" borderId="35" xfId="59" applyNumberFormat="1" applyFill="1" applyBorder="1" applyAlignment="1">
      <alignment horizontal="center"/>
    </xf>
    <xf numFmtId="14" fontId="75" fillId="3" borderId="0" xfId="59" applyNumberFormat="1" applyFill="1" applyAlignment="1">
      <alignment horizontal="center"/>
    </xf>
    <xf numFmtId="14" fontId="75" fillId="3" borderId="36" xfId="59" applyNumberFormat="1" applyFill="1" applyBorder="1" applyAlignment="1">
      <alignment horizontal="center"/>
    </xf>
    <xf numFmtId="14" fontId="75" fillId="3" borderId="37" xfId="59" applyNumberFormat="1" applyFill="1" applyBorder="1" applyAlignment="1">
      <alignment horizontal="center"/>
    </xf>
    <xf numFmtId="14" fontId="75" fillId="3" borderId="38" xfId="59" applyNumberFormat="1" applyFill="1" applyBorder="1" applyAlignment="1">
      <alignment horizontal="center"/>
    </xf>
    <xf numFmtId="14" fontId="75" fillId="3" borderId="39" xfId="59" applyNumberFormat="1" applyFill="1" applyBorder="1" applyAlignment="1">
      <alignment horizontal="center"/>
    </xf>
    <xf numFmtId="165" fontId="11" fillId="12" borderId="0" xfId="99" applyNumberFormat="1" applyFill="1"/>
    <xf numFmtId="169" fontId="11" fillId="12" borderId="0" xfId="99" applyNumberFormat="1" applyFill="1"/>
    <xf numFmtId="169" fontId="11" fillId="7" borderId="0" xfId="99" applyNumberFormat="1" applyFill="1"/>
    <xf numFmtId="14" fontId="11" fillId="0" borderId="40" xfId="99" applyNumberFormat="1" applyBorder="1" applyAlignment="1">
      <alignment horizontal="center"/>
    </xf>
    <xf numFmtId="14" fontId="11" fillId="0" borderId="41" xfId="99" applyNumberFormat="1" applyBorder="1" applyAlignment="1">
      <alignment horizontal="center"/>
    </xf>
    <xf numFmtId="14" fontId="11" fillId="0" borderId="42" xfId="99" applyNumberFormat="1" applyBorder="1" applyAlignment="1">
      <alignment horizontal="center"/>
    </xf>
    <xf numFmtId="165" fontId="11" fillId="3" borderId="20" xfId="1" applyNumberFormat="1" applyFont="1" applyFill="1" applyBorder="1"/>
    <xf numFmtId="165" fontId="11" fillId="3" borderId="21" xfId="1" applyNumberFormat="1" applyFont="1" applyFill="1" applyBorder="1"/>
    <xf numFmtId="165" fontId="11" fillId="3" borderId="22" xfId="1" applyNumberFormat="1" applyFont="1" applyFill="1" applyBorder="1"/>
    <xf numFmtId="165" fontId="11" fillId="3" borderId="25" xfId="1" applyNumberFormat="1" applyFont="1" applyFill="1" applyBorder="1"/>
    <xf numFmtId="165" fontId="11" fillId="3" borderId="26" xfId="1" applyNumberFormat="1" applyFont="1" applyFill="1" applyBorder="1"/>
    <xf numFmtId="165" fontId="11" fillId="3" borderId="30" xfId="1" applyNumberFormat="1" applyFont="1" applyFill="1" applyBorder="1"/>
    <xf numFmtId="165" fontId="11" fillId="3" borderId="1" xfId="1" applyNumberFormat="1" applyFont="1" applyFill="1" applyBorder="1"/>
    <xf numFmtId="165" fontId="11" fillId="3" borderId="31" xfId="1" applyNumberFormat="1" applyFont="1" applyFill="1" applyBorder="1"/>
    <xf numFmtId="14" fontId="11" fillId="0" borderId="43" xfId="99" applyNumberFormat="1" applyBorder="1" applyAlignment="1">
      <alignment horizontal="center"/>
    </xf>
    <xf numFmtId="14" fontId="11" fillId="0" borderId="44" xfId="99" applyNumberFormat="1" applyBorder="1" applyAlignment="1">
      <alignment horizontal="center"/>
    </xf>
    <xf numFmtId="14" fontId="11" fillId="0" borderId="45" xfId="99" applyNumberFormat="1" applyBorder="1" applyAlignment="1">
      <alignment horizontal="center"/>
    </xf>
    <xf numFmtId="165" fontId="11" fillId="2" borderId="16" xfId="1" applyNumberFormat="1" applyFont="1" applyFill="1" applyBorder="1"/>
    <xf numFmtId="165" fontId="11" fillId="2" borderId="17" xfId="1" applyNumberFormat="1" applyFont="1" applyFill="1" applyBorder="1"/>
    <xf numFmtId="165" fontId="11" fillId="2" borderId="19" xfId="1" applyNumberFormat="1" applyFont="1" applyFill="1" applyBorder="1"/>
    <xf numFmtId="165" fontId="11" fillId="2" borderId="23" xfId="1" applyNumberFormat="1" applyFont="1" applyFill="1" applyBorder="1"/>
    <xf numFmtId="165" fontId="11" fillId="2" borderId="24" xfId="1" applyNumberFormat="1" applyFont="1" applyFill="1" applyBorder="1"/>
    <xf numFmtId="165" fontId="11" fillId="2" borderId="28" xfId="1" applyNumberFormat="1" applyFont="1" applyFill="1" applyBorder="1"/>
    <xf numFmtId="165" fontId="11" fillId="2" borderId="27" xfId="1" applyNumberFormat="1" applyFont="1" applyFill="1" applyBorder="1"/>
    <xf numFmtId="165" fontId="11" fillId="2" borderId="29" xfId="1" applyNumberFormat="1" applyFont="1" applyFill="1" applyBorder="1"/>
    <xf numFmtId="0" fontId="11" fillId="0" borderId="46" xfId="99" applyBorder="1" applyAlignment="1">
      <alignment horizontal="center"/>
    </xf>
    <xf numFmtId="0" fontId="11" fillId="0" borderId="47" xfId="99" applyBorder="1"/>
    <xf numFmtId="0" fontId="30" fillId="0" borderId="0" xfId="59" applyFont="1"/>
    <xf numFmtId="0" fontId="78" fillId="0" borderId="0" xfId="70" applyFont="1" applyAlignment="1">
      <alignment wrapText="1"/>
    </xf>
    <xf numFmtId="0" fontId="31" fillId="0" borderId="0" xfId="70" applyFont="1" applyAlignment="1">
      <alignment wrapText="1"/>
    </xf>
    <xf numFmtId="0" fontId="79" fillId="0" borderId="0" xfId="113" applyFont="1" applyAlignment="1">
      <alignment horizontal="right" vertical="center"/>
    </xf>
    <xf numFmtId="0" fontId="32" fillId="13" borderId="48" xfId="43" applyFont="1" applyFill="1" applyBorder="1" applyAlignment="1" applyProtection="1">
      <alignment horizontal="center" wrapText="1"/>
      <protection locked="0"/>
    </xf>
    <xf numFmtId="0" fontId="33" fillId="0" borderId="32" xfId="131" applyFont="1" applyBorder="1"/>
    <xf numFmtId="0" fontId="34" fillId="0" borderId="49" xfId="131" applyFont="1" applyBorder="1" applyAlignment="1">
      <alignment horizontal="right"/>
    </xf>
    <xf numFmtId="0" fontId="80" fillId="13" borderId="48" xfId="43" applyFont="1" applyFill="1" applyBorder="1" applyAlignment="1" applyProtection="1">
      <alignment horizontal="center" wrapText="1"/>
      <protection locked="0"/>
    </xf>
    <xf numFmtId="0" fontId="34" fillId="0" borderId="50" xfId="131" applyFont="1" applyBorder="1" applyAlignment="1">
      <alignment wrapText="1"/>
    </xf>
    <xf numFmtId="0" fontId="33" fillId="0" borderId="48" xfId="131" applyFont="1" applyBorder="1" applyAlignment="1">
      <alignment horizontal="right" vertical="center"/>
    </xf>
    <xf numFmtId="0" fontId="33" fillId="0" borderId="51" xfId="131" applyFont="1" applyBorder="1" applyAlignment="1">
      <alignment horizontal="right" vertical="center"/>
    </xf>
    <xf numFmtId="0" fontId="80" fillId="13" borderId="51" xfId="43" applyFont="1" applyFill="1" applyBorder="1" applyAlignment="1" applyProtection="1">
      <alignment horizontal="center" wrapText="1"/>
      <protection locked="0"/>
    </xf>
    <xf numFmtId="0" fontId="81" fillId="0" borderId="0" xfId="59" applyFont="1" applyAlignment="1">
      <alignment horizontal="right" vertical="center"/>
    </xf>
    <xf numFmtId="0" fontId="81" fillId="0" borderId="0" xfId="59" applyFont="1" applyAlignment="1">
      <alignment horizontal="center" vertical="center"/>
    </xf>
    <xf numFmtId="0" fontId="33" fillId="0" borderId="32" xfId="135" applyFont="1" applyBorder="1"/>
    <xf numFmtId="0" fontId="33" fillId="0" borderId="34" xfId="135" applyFont="1" applyBorder="1" applyAlignment="1">
      <alignment horizontal="right" vertical="center"/>
    </xf>
    <xf numFmtId="0" fontId="32" fillId="0" borderId="32" xfId="135" applyFont="1" applyBorder="1" applyAlignment="1">
      <alignment horizontal="left"/>
    </xf>
    <xf numFmtId="0" fontId="32" fillId="0" borderId="33" xfId="135" applyFont="1" applyBorder="1" applyAlignment="1">
      <alignment horizontal="left"/>
    </xf>
    <xf numFmtId="0" fontId="32" fillId="0" borderId="33" xfId="135" applyFont="1" applyBorder="1" applyAlignment="1">
      <alignment horizontal="left" wrapText="1"/>
    </xf>
    <xf numFmtId="0" fontId="33" fillId="0" borderId="50" xfId="135" applyFont="1" applyBorder="1"/>
    <xf numFmtId="0" fontId="33" fillId="0" borderId="52" xfId="135" applyFont="1" applyBorder="1" applyAlignment="1">
      <alignment horizontal="right" vertical="center"/>
    </xf>
    <xf numFmtId="0" fontId="33" fillId="0" borderId="0" xfId="135" applyFont="1" applyAlignment="1">
      <alignment horizontal="center"/>
    </xf>
    <xf numFmtId="0" fontId="33" fillId="0" borderId="0" xfId="135" applyFont="1" applyAlignment="1">
      <alignment horizontal="right"/>
    </xf>
    <xf numFmtId="0" fontId="37" fillId="0" borderId="0" xfId="43" applyFont="1" applyAlignment="1">
      <alignment vertical="center" wrapText="1"/>
    </xf>
    <xf numFmtId="0" fontId="40" fillId="0" borderId="38" xfId="43" applyFont="1" applyBorder="1" applyAlignment="1">
      <alignment wrapText="1"/>
    </xf>
    <xf numFmtId="0" fontId="41" fillId="0" borderId="38" xfId="43" applyFont="1" applyBorder="1"/>
    <xf numFmtId="0" fontId="82" fillId="0" borderId="38" xfId="43" applyFont="1" applyBorder="1" applyAlignment="1">
      <alignment horizontal="center" wrapText="1"/>
    </xf>
    <xf numFmtId="0" fontId="40" fillId="10" borderId="0" xfId="43" applyFont="1" applyFill="1" applyAlignment="1">
      <alignment horizontal="center" wrapText="1"/>
    </xf>
    <xf numFmtId="0" fontId="33" fillId="13" borderId="48" xfId="43" applyFont="1" applyFill="1" applyBorder="1" applyAlignment="1" applyProtection="1">
      <alignment horizontal="center" vertical="center"/>
      <protection locked="0"/>
    </xf>
    <xf numFmtId="0" fontId="33" fillId="0" borderId="0" xfId="43" applyFont="1"/>
    <xf numFmtId="0" fontId="32" fillId="13" borderId="39" xfId="43" applyFont="1" applyFill="1" applyBorder="1" applyAlignment="1" applyProtection="1">
      <alignment horizontal="center" wrapText="1"/>
      <protection locked="0"/>
    </xf>
    <xf numFmtId="0" fontId="32" fillId="13" borderId="51" xfId="43" applyFont="1" applyFill="1" applyBorder="1" applyAlignment="1" applyProtection="1">
      <alignment horizontal="center" wrapText="1"/>
      <protection locked="0"/>
    </xf>
    <xf numFmtId="0" fontId="34" fillId="0" borderId="50" xfId="43" applyFont="1" applyBorder="1" applyAlignment="1">
      <alignment horizontal="right"/>
    </xf>
    <xf numFmtId="0" fontId="34" fillId="0" borderId="52" xfId="43" applyFont="1" applyBorder="1" applyAlignment="1">
      <alignment horizontal="right"/>
    </xf>
    <xf numFmtId="167" fontId="32" fillId="13" borderId="39" xfId="43" applyNumberFormat="1" applyFont="1" applyFill="1" applyBorder="1" applyAlignment="1" applyProtection="1">
      <alignment horizontal="center" wrapText="1"/>
      <protection locked="0"/>
    </xf>
    <xf numFmtId="167" fontId="32" fillId="13" borderId="48" xfId="43" applyNumberFormat="1" applyFont="1" applyFill="1" applyBorder="1" applyAlignment="1" applyProtection="1">
      <alignment horizontal="center" wrapText="1"/>
      <protection locked="0"/>
    </xf>
    <xf numFmtId="0" fontId="33" fillId="0" borderId="0" xfId="45" applyFont="1"/>
    <xf numFmtId="0" fontId="43" fillId="0" borderId="0" xfId="45" applyFont="1" applyAlignment="1">
      <alignment horizontal="right"/>
    </xf>
    <xf numFmtId="0" fontId="83" fillId="13" borderId="48" xfId="45" applyFont="1" applyFill="1" applyBorder="1" applyAlignment="1" applyProtection="1">
      <alignment horizontal="center" vertical="center" wrapText="1"/>
      <protection locked="0"/>
    </xf>
    <xf numFmtId="0" fontId="44" fillId="0" borderId="0" xfId="45" applyFont="1"/>
    <xf numFmtId="0" fontId="45" fillId="0" borderId="0" xfId="45" applyFont="1" applyAlignment="1">
      <alignment horizontal="center" vertical="center"/>
    </xf>
    <xf numFmtId="0" fontId="32" fillId="0" borderId="0" xfId="45" applyFont="1" applyAlignment="1">
      <alignment wrapText="1"/>
    </xf>
    <xf numFmtId="0" fontId="33" fillId="0" borderId="0" xfId="45" applyFont="1" applyAlignment="1">
      <alignment horizontal="right"/>
    </xf>
    <xf numFmtId="14" fontId="32" fillId="13" borderId="48" xfId="45" applyNumberFormat="1" applyFont="1" applyFill="1" applyBorder="1" applyAlignment="1" applyProtection="1">
      <alignment horizontal="center" wrapText="1"/>
      <protection locked="0"/>
    </xf>
    <xf numFmtId="0" fontId="33" fillId="13" borderId="48" xfId="45" applyFont="1" applyFill="1" applyBorder="1" applyAlignment="1" applyProtection="1">
      <alignment horizontal="center"/>
      <protection locked="0"/>
    </xf>
    <xf numFmtId="0" fontId="30" fillId="0" borderId="0" xfId="59" applyFont="1" applyAlignment="1">
      <alignment horizontal="center"/>
    </xf>
    <xf numFmtId="0" fontId="46" fillId="0" borderId="0" xfId="57" applyFont="1" applyAlignment="1">
      <alignment wrapText="1"/>
    </xf>
    <xf numFmtId="0" fontId="47" fillId="0" borderId="0" xfId="57" applyFont="1"/>
    <xf numFmtId="0" fontId="48" fillId="0" borderId="0" xfId="59" applyFont="1"/>
    <xf numFmtId="0" fontId="84" fillId="0" borderId="0" xfId="57" applyFont="1" applyAlignment="1">
      <alignment horizontal="center" wrapText="1"/>
    </xf>
    <xf numFmtId="164" fontId="49" fillId="13" borderId="48" xfId="57" applyNumberFormat="1" applyFont="1" applyFill="1" applyBorder="1" applyAlignment="1" applyProtection="1">
      <alignment horizontal="center" wrapText="1"/>
      <protection locked="0"/>
    </xf>
    <xf numFmtId="0" fontId="50" fillId="0" borderId="0" xfId="100" applyFont="1" applyAlignment="1">
      <alignment horizontal="center" wrapText="1"/>
    </xf>
    <xf numFmtId="164" fontId="51" fillId="13" borderId="48" xfId="100" applyNumberFormat="1" applyFont="1" applyFill="1" applyBorder="1" applyAlignment="1" applyProtection="1">
      <alignment horizontal="center" wrapText="1"/>
      <protection locked="0"/>
    </xf>
    <xf numFmtId="0" fontId="33" fillId="0" borderId="0" xfId="100" applyFont="1" applyAlignment="1">
      <alignment vertical="center" wrapText="1"/>
    </xf>
    <xf numFmtId="0" fontId="41" fillId="0" borderId="0" xfId="100" applyFont="1" applyAlignment="1">
      <alignment wrapText="1"/>
    </xf>
    <xf numFmtId="164" fontId="32" fillId="14" borderId="0" xfId="100" applyNumberFormat="1" applyFont="1" applyFill="1" applyAlignment="1">
      <alignment horizontal="center" vertical="center" wrapText="1"/>
    </xf>
    <xf numFmtId="0" fontId="33" fillId="0" borderId="0" xfId="100" applyFont="1"/>
    <xf numFmtId="0" fontId="52" fillId="0" borderId="0" xfId="102" applyFont="1" applyAlignment="1">
      <alignment horizontal="center" vertical="center" wrapText="1"/>
    </xf>
    <xf numFmtId="0" fontId="55" fillId="0" borderId="0" xfId="102" applyFont="1" applyAlignment="1">
      <alignment horizontal="center" wrapText="1"/>
    </xf>
    <xf numFmtId="14" fontId="33" fillId="13" borderId="48" xfId="102" applyNumberFormat="1" applyFont="1" applyFill="1" applyBorder="1" applyAlignment="1" applyProtection="1">
      <alignment horizontal="center" vertical="center" wrapText="1"/>
      <protection locked="0"/>
    </xf>
    <xf numFmtId="0" fontId="33" fillId="13" borderId="48" xfId="102" applyFont="1" applyFill="1" applyBorder="1" applyAlignment="1" applyProtection="1">
      <alignment horizontal="center" vertical="center" wrapText="1"/>
      <protection locked="0"/>
    </xf>
    <xf numFmtId="164" fontId="32" fillId="13" borderId="48" xfId="102" applyNumberFormat="1" applyFont="1" applyFill="1" applyBorder="1" applyAlignment="1" applyProtection="1">
      <alignment wrapText="1"/>
      <protection locked="0"/>
    </xf>
    <xf numFmtId="164" fontId="56" fillId="14" borderId="48" xfId="104" applyNumberFormat="1" applyFont="1" applyFill="1" applyBorder="1" applyAlignment="1">
      <alignment wrapText="1"/>
    </xf>
    <xf numFmtId="0" fontId="33" fillId="0" borderId="0" xfId="107" applyFont="1" applyAlignment="1">
      <alignment horizontal="center"/>
    </xf>
    <xf numFmtId="0" fontId="84" fillId="10" borderId="38" xfId="57" applyFont="1" applyFill="1" applyBorder="1" applyAlignment="1">
      <alignment horizontal="center" wrapText="1"/>
    </xf>
    <xf numFmtId="0" fontId="84" fillId="10" borderId="0" xfId="57" applyFont="1" applyFill="1" applyAlignment="1">
      <alignment horizontal="center" wrapText="1"/>
    </xf>
    <xf numFmtId="0" fontId="56" fillId="0" borderId="48" xfId="104" applyFont="1" applyBorder="1" applyAlignment="1">
      <alignment horizontal="center" wrapText="1"/>
    </xf>
    <xf numFmtId="0" fontId="33" fillId="0" borderId="0" xfId="107" applyFont="1" applyAlignment="1">
      <alignment horizontal="center" vertical="top"/>
    </xf>
    <xf numFmtId="164" fontId="32" fillId="13" borderId="51" xfId="104" applyNumberFormat="1" applyFont="1" applyFill="1" applyBorder="1" applyAlignment="1" applyProtection="1">
      <alignment wrapText="1"/>
      <protection locked="0"/>
    </xf>
    <xf numFmtId="164" fontId="32" fillId="13" borderId="48" xfId="104" applyNumberFormat="1" applyFont="1" applyFill="1" applyBorder="1" applyAlignment="1" applyProtection="1">
      <alignment wrapText="1"/>
      <protection locked="0"/>
    </xf>
    <xf numFmtId="164" fontId="32" fillId="13" borderId="48" xfId="107" applyNumberFormat="1" applyFont="1" applyFill="1" applyBorder="1" applyAlignment="1" applyProtection="1">
      <alignment wrapText="1"/>
      <protection locked="0"/>
    </xf>
    <xf numFmtId="0" fontId="33" fillId="0" borderId="0" xfId="107" applyFont="1" applyAlignment="1">
      <alignment horizontal="right"/>
    </xf>
    <xf numFmtId="0" fontId="33" fillId="0" borderId="0" xfId="107" applyFont="1" applyAlignment="1">
      <alignment horizontal="right" vertical="top"/>
    </xf>
    <xf numFmtId="164" fontId="56" fillId="14" borderId="48" xfId="107" applyNumberFormat="1" applyFont="1" applyFill="1" applyBorder="1" applyAlignment="1">
      <alignment wrapText="1"/>
    </xf>
    <xf numFmtId="0" fontId="57" fillId="0" borderId="0" xfId="0" applyFont="1" applyAlignment="1">
      <alignment horizontal="center" vertical="center"/>
    </xf>
    <xf numFmtId="0" fontId="77" fillId="0" borderId="0" xfId="59" applyFont="1" applyAlignment="1">
      <alignment horizontal="right"/>
    </xf>
    <xf numFmtId="164" fontId="56" fillId="13" borderId="48" xfId="111" applyNumberFormat="1" applyFont="1" applyFill="1" applyBorder="1" applyAlignment="1" applyProtection="1">
      <alignment wrapText="1"/>
      <protection locked="0"/>
    </xf>
    <xf numFmtId="0" fontId="33" fillId="0" borderId="0" xfId="111" applyFont="1"/>
    <xf numFmtId="168" fontId="58" fillId="14" borderId="0" xfId="137" applyNumberFormat="1" applyFont="1" applyFill="1" applyAlignment="1">
      <alignment horizontal="center" vertical="center" wrapText="1"/>
    </xf>
    <xf numFmtId="0" fontId="85" fillId="15" borderId="35" xfId="115" applyFont="1" applyFill="1" applyBorder="1" applyAlignment="1">
      <alignment vertical="center" wrapText="1"/>
    </xf>
    <xf numFmtId="0" fontId="85" fillId="15" borderId="0" xfId="115" applyFont="1" applyFill="1" applyAlignment="1">
      <alignment vertical="center" wrapText="1"/>
    </xf>
    <xf numFmtId="0" fontId="84" fillId="10" borderId="48" xfId="57" applyFont="1" applyFill="1" applyBorder="1" applyAlignment="1">
      <alignment horizontal="center" vertical="center" wrapText="1"/>
    </xf>
    <xf numFmtId="0" fontId="75" fillId="11" borderId="0" xfId="59" applyFill="1"/>
    <xf numFmtId="0" fontId="75" fillId="13" borderId="48" xfId="59" applyFill="1" applyBorder="1" applyAlignment="1" applyProtection="1">
      <alignment horizontal="center"/>
      <protection locked="0"/>
    </xf>
    <xf numFmtId="165" fontId="75" fillId="13" borderId="48" xfId="2" applyNumberFormat="1" applyFont="1" applyFill="1" applyBorder="1" applyAlignment="1" applyProtection="1">
      <alignment horizontal="left"/>
      <protection locked="0"/>
    </xf>
    <xf numFmtId="0" fontId="75" fillId="13" borderId="48" xfId="59" applyFill="1" applyBorder="1" applyAlignment="1" applyProtection="1">
      <alignment horizontal="center" vertical="center"/>
      <protection locked="0"/>
    </xf>
    <xf numFmtId="0" fontId="52" fillId="0" borderId="0" xfId="0" applyFont="1" applyAlignment="1">
      <alignment vertical="center" wrapText="1"/>
    </xf>
    <xf numFmtId="0" fontId="76" fillId="0" borderId="0" xfId="59" applyFont="1"/>
    <xf numFmtId="0" fontId="33" fillId="0" borderId="51" xfId="132" applyFont="1" applyBorder="1" applyAlignment="1">
      <alignment horizontal="right" vertical="center"/>
    </xf>
    <xf numFmtId="0" fontId="32" fillId="13" borderId="51" xfId="132" applyFont="1" applyFill="1" applyBorder="1" applyAlignment="1" applyProtection="1">
      <alignment horizontal="center" wrapText="1"/>
      <protection locked="0"/>
    </xf>
    <xf numFmtId="0" fontId="33" fillId="0" borderId="50" xfId="134" applyFont="1" applyBorder="1"/>
    <xf numFmtId="0" fontId="33" fillId="0" borderId="48" xfId="134" applyFont="1" applyBorder="1" applyAlignment="1">
      <alignment horizontal="right" vertical="center"/>
    </xf>
    <xf numFmtId="49" fontId="63" fillId="13" borderId="50" xfId="132" applyNumberFormat="1" applyFont="1" applyFill="1" applyBorder="1" applyAlignment="1" applyProtection="1">
      <alignment horizontal="center" vertical="center" wrapText="1"/>
      <protection locked="0"/>
    </xf>
    <xf numFmtId="49" fontId="63" fillId="13" borderId="53" xfId="132" applyNumberFormat="1" applyFont="1" applyFill="1" applyBorder="1" applyAlignment="1" applyProtection="1">
      <alignment horizontal="center" vertical="center" wrapText="1"/>
      <protection locked="0"/>
    </xf>
    <xf numFmtId="49" fontId="63" fillId="13" borderId="52" xfId="132" applyNumberFormat="1" applyFont="1" applyFill="1" applyBorder="1" applyAlignment="1" applyProtection="1">
      <alignment horizontal="center" vertical="center" wrapText="1"/>
      <protection locked="0"/>
    </xf>
    <xf numFmtId="0" fontId="75" fillId="0" borderId="0" xfId="59" applyAlignment="1">
      <alignment horizontal="right"/>
    </xf>
    <xf numFmtId="0" fontId="32" fillId="13" borderId="48" xfId="132" applyFont="1" applyFill="1" applyBorder="1" applyAlignment="1" applyProtection="1">
      <alignment horizontal="center" wrapText="1"/>
      <protection locked="0"/>
    </xf>
    <xf numFmtId="49" fontId="32" fillId="13" borderId="51" xfId="132" applyNumberFormat="1" applyFont="1" applyFill="1" applyBorder="1" applyAlignment="1" applyProtection="1">
      <alignment horizontal="center" wrapText="1"/>
      <protection locked="0"/>
    </xf>
    <xf numFmtId="49" fontId="32" fillId="13" borderId="48" xfId="132" applyNumberFormat="1" applyFont="1" applyFill="1" applyBorder="1" applyAlignment="1" applyProtection="1">
      <alignment horizontal="center" wrapText="1"/>
      <protection locked="0"/>
    </xf>
    <xf numFmtId="0" fontId="66" fillId="0" borderId="0" xfId="117" applyFont="1"/>
    <xf numFmtId="0" fontId="66" fillId="0" borderId="0" xfId="51" applyFont="1"/>
    <xf numFmtId="0" fontId="86" fillId="0" borderId="0" xfId="59" applyFont="1"/>
    <xf numFmtId="0" fontId="67" fillId="0" borderId="0" xfId="121" applyFont="1" applyAlignment="1">
      <alignment horizontal="center"/>
    </xf>
    <xf numFmtId="0" fontId="66" fillId="0" borderId="0" xfId="119" applyFont="1"/>
    <xf numFmtId="0" fontId="68" fillId="0" borderId="0" xfId="129" applyFont="1"/>
    <xf numFmtId="0" fontId="66" fillId="0" borderId="0" xfId="123" applyFont="1"/>
    <xf numFmtId="0" fontId="69" fillId="0" borderId="0" xfId="123" applyFont="1"/>
    <xf numFmtId="0" fontId="66" fillId="0" borderId="0" xfId="125" applyFont="1"/>
    <xf numFmtId="0" fontId="54" fillId="0" borderId="0" xfId="127" applyFont="1"/>
    <xf numFmtId="0" fontId="33" fillId="0" borderId="0" xfId="127" applyFont="1"/>
    <xf numFmtId="0" fontId="70" fillId="0" borderId="0" xfId="59" applyFont="1" applyAlignment="1">
      <alignment horizontal="center"/>
    </xf>
    <xf numFmtId="164" fontId="75" fillId="0" borderId="49" xfId="59" applyNumberFormat="1" applyBorder="1"/>
    <xf numFmtId="164" fontId="75" fillId="0" borderId="0" xfId="59" applyNumberFormat="1"/>
    <xf numFmtId="164" fontId="75" fillId="0" borderId="54" xfId="59" applyNumberFormat="1" applyBorder="1"/>
    <xf numFmtId="0" fontId="33" fillId="0" borderId="0" xfId="127" applyFont="1" applyAlignment="1">
      <alignment horizontal="right"/>
    </xf>
    <xf numFmtId="164" fontId="71" fillId="0" borderId="51" xfId="59" applyNumberFormat="1" applyFont="1" applyBorder="1"/>
    <xf numFmtId="164" fontId="71" fillId="0" borderId="0" xfId="59" applyNumberFormat="1" applyFont="1"/>
    <xf numFmtId="168" fontId="11" fillId="0" borderId="0" xfId="137" applyNumberFormat="1" applyFont="1"/>
    <xf numFmtId="0" fontId="15" fillId="0" borderId="2" xfId="99" applyFont="1" applyBorder="1" applyAlignment="1">
      <alignment horizontal="center"/>
    </xf>
    <xf numFmtId="0" fontId="15" fillId="0" borderId="3" xfId="99" applyFont="1" applyBorder="1" applyAlignment="1">
      <alignment horizontal="center"/>
    </xf>
    <xf numFmtId="0" fontId="15" fillId="0" borderId="4" xfId="99" applyFont="1" applyBorder="1" applyAlignment="1">
      <alignment horizontal="center"/>
    </xf>
    <xf numFmtId="0" fontId="11" fillId="16" borderId="0" xfId="99" applyFill="1"/>
    <xf numFmtId="14" fontId="11" fillId="16" borderId="0" xfId="99" applyNumberFormat="1" applyFill="1"/>
    <xf numFmtId="14" fontId="11" fillId="17" borderId="0" xfId="99" applyNumberFormat="1" applyFill="1"/>
    <xf numFmtId="1" fontId="11" fillId="0" borderId="38" xfId="99" applyNumberFormat="1" applyBorder="1"/>
    <xf numFmtId="14" fontId="11" fillId="18" borderId="0" xfId="99" applyNumberFormat="1" applyFill="1"/>
    <xf numFmtId="1" fontId="11" fillId="0" borderId="0" xfId="99" applyNumberFormat="1"/>
    <xf numFmtId="166" fontId="11" fillId="19" borderId="38" xfId="41" applyNumberFormat="1" applyFont="1" applyFill="1" applyBorder="1"/>
    <xf numFmtId="0" fontId="87" fillId="0" borderId="38" xfId="59" applyFont="1" applyBorder="1"/>
    <xf numFmtId="0" fontId="77" fillId="0" borderId="38" xfId="59" applyFont="1" applyBorder="1"/>
    <xf numFmtId="0" fontId="30" fillId="0" borderId="38" xfId="59" applyFont="1" applyBorder="1"/>
    <xf numFmtId="0" fontId="12" fillId="0" borderId="0" xfId="59" applyFont="1"/>
    <xf numFmtId="0" fontId="20" fillId="0" borderId="0" xfId="59" applyFont="1"/>
    <xf numFmtId="0" fontId="18" fillId="0" borderId="0" xfId="59" applyFont="1"/>
    <xf numFmtId="0" fontId="88" fillId="0" borderId="0" xfId="59" applyFont="1"/>
    <xf numFmtId="0" fontId="18" fillId="0" borderId="0" xfId="59" applyFont="1" applyAlignment="1">
      <alignment horizontal="center"/>
    </xf>
    <xf numFmtId="0" fontId="18" fillId="0" borderId="0" xfId="59" applyFont="1" applyAlignment="1">
      <alignment horizontal="center" vertical="center"/>
    </xf>
    <xf numFmtId="0" fontId="89" fillId="0" borderId="0" xfId="59" applyFont="1" applyAlignment="1">
      <alignment horizontal="center"/>
    </xf>
    <xf numFmtId="0" fontId="18" fillId="0" borderId="38" xfId="59" applyFont="1" applyBorder="1" applyAlignment="1">
      <alignment horizontal="center"/>
    </xf>
    <xf numFmtId="0" fontId="30" fillId="0" borderId="65" xfId="59" applyFont="1" applyBorder="1"/>
    <xf numFmtId="0" fontId="90" fillId="0" borderId="66" xfId="59" applyFont="1" applyBorder="1"/>
    <xf numFmtId="0" fontId="75" fillId="0" borderId="66" xfId="59" applyBorder="1"/>
    <xf numFmtId="0" fontId="75" fillId="0" borderId="67" xfId="59" applyBorder="1"/>
    <xf numFmtId="0" fontId="30" fillId="0" borderId="68" xfId="59" applyFont="1" applyBorder="1"/>
    <xf numFmtId="0" fontId="75" fillId="0" borderId="69" xfId="59" applyBorder="1"/>
    <xf numFmtId="14" fontId="75" fillId="0" borderId="0" xfId="59" applyNumberFormat="1"/>
    <xf numFmtId="0" fontId="30" fillId="0" borderId="70" xfId="59" applyFont="1" applyBorder="1"/>
    <xf numFmtId="0" fontId="75" fillId="0" borderId="71" xfId="59" applyBorder="1"/>
    <xf numFmtId="0" fontId="75" fillId="0" borderId="72" xfId="59" applyBorder="1"/>
    <xf numFmtId="0" fontId="88" fillId="13" borderId="48" xfId="59" applyFont="1" applyFill="1" applyBorder="1" applyAlignment="1" applyProtection="1">
      <alignment horizontal="center"/>
      <protection locked="0"/>
    </xf>
    <xf numFmtId="14" fontId="88" fillId="13" borderId="48" xfId="59" applyNumberFormat="1" applyFont="1" applyFill="1" applyBorder="1" applyAlignment="1" applyProtection="1">
      <alignment horizontal="center" vertical="center"/>
      <protection locked="0"/>
    </xf>
    <xf numFmtId="165" fontId="88" fillId="13" borderId="48" xfId="2" applyNumberFormat="1" applyFont="1" applyFill="1" applyBorder="1" applyAlignment="1" applyProtection="1">
      <alignment horizontal="left"/>
      <protection locked="0"/>
    </xf>
    <xf numFmtId="0" fontId="88" fillId="13" borderId="48" xfId="59" applyFont="1" applyFill="1" applyBorder="1" applyAlignment="1" applyProtection="1">
      <alignment horizontal="center" vertical="center"/>
      <protection locked="0"/>
    </xf>
    <xf numFmtId="0" fontId="77" fillId="0" borderId="0" xfId="59" applyFont="1"/>
    <xf numFmtId="14" fontId="11" fillId="18" borderId="32" xfId="99" applyNumberFormat="1" applyFill="1" applyBorder="1"/>
    <xf numFmtId="14" fontId="11" fillId="18" borderId="33" xfId="99" applyNumberFormat="1" applyFill="1" applyBorder="1"/>
    <xf numFmtId="1" fontId="11" fillId="0" borderId="33" xfId="99" applyNumberFormat="1" applyBorder="1"/>
    <xf numFmtId="166" fontId="11" fillId="19" borderId="33" xfId="41" applyNumberFormat="1" applyFont="1" applyFill="1" applyBorder="1"/>
    <xf numFmtId="166" fontId="11" fillId="19" borderId="34" xfId="41" applyNumberFormat="1" applyFont="1" applyFill="1" applyBorder="1"/>
    <xf numFmtId="14" fontId="11" fillId="18" borderId="35" xfId="99" applyNumberFormat="1" applyFill="1" applyBorder="1"/>
    <xf numFmtId="166" fontId="11" fillId="19" borderId="0" xfId="41" applyNumberFormat="1" applyFont="1" applyFill="1"/>
    <xf numFmtId="166" fontId="11" fillId="19" borderId="36" xfId="41" applyNumberFormat="1" applyFont="1" applyFill="1" applyBorder="1"/>
    <xf numFmtId="14" fontId="11" fillId="18" borderId="37" xfId="99" applyNumberFormat="1" applyFill="1" applyBorder="1"/>
    <xf numFmtId="166" fontId="11" fillId="19" borderId="39" xfId="41" applyNumberFormat="1" applyFont="1" applyFill="1" applyBorder="1"/>
    <xf numFmtId="167" fontId="91" fillId="0" borderId="0" xfId="45" applyNumberFormat="1" applyFont="1" applyAlignment="1">
      <alignment horizontal="center" wrapText="1"/>
    </xf>
    <xf numFmtId="167" fontId="91" fillId="10" borderId="0" xfId="45" applyNumberFormat="1" applyFont="1" applyFill="1" applyAlignment="1">
      <alignment horizontal="center" wrapText="1"/>
    </xf>
    <xf numFmtId="0" fontId="15" fillId="0" borderId="0" xfId="99" applyFont="1"/>
    <xf numFmtId="14" fontId="11" fillId="20" borderId="0" xfId="99" applyNumberFormat="1" applyFill="1"/>
    <xf numFmtId="0" fontId="18" fillId="0" borderId="38" xfId="59" applyFont="1" applyBorder="1" applyAlignment="1">
      <alignment horizontal="left"/>
    </xf>
    <xf numFmtId="0" fontId="87" fillId="0" borderId="0" xfId="59" applyFont="1"/>
    <xf numFmtId="0" fontId="18" fillId="0" borderId="0" xfId="59" applyFont="1" applyAlignment="1">
      <alignment horizontal="left"/>
    </xf>
    <xf numFmtId="0" fontId="60" fillId="0" borderId="0" xfId="113" applyFont="1" applyAlignment="1">
      <alignment wrapText="1"/>
    </xf>
    <xf numFmtId="168" fontId="59" fillId="0" borderId="0" xfId="137" applyNumberFormat="1" applyFont="1" applyAlignment="1">
      <alignment horizontal="center" vertical="center" wrapText="1"/>
    </xf>
    <xf numFmtId="0" fontId="92" fillId="0" borderId="0" xfId="59" applyFont="1" applyAlignment="1">
      <alignment horizontal="center"/>
    </xf>
    <xf numFmtId="0" fontId="74" fillId="0" borderId="0" xfId="59" applyFont="1" applyAlignment="1">
      <alignment horizontal="left"/>
    </xf>
    <xf numFmtId="0" fontId="30" fillId="0" borderId="53" xfId="59" applyFont="1" applyBorder="1"/>
    <xf numFmtId="0" fontId="18" fillId="0" borderId="53" xfId="59" applyFont="1" applyBorder="1" applyAlignment="1">
      <alignment horizontal="center"/>
    </xf>
    <xf numFmtId="0" fontId="89" fillId="0" borderId="0" xfId="59" applyFont="1" applyAlignment="1">
      <alignment horizontal="right"/>
    </xf>
    <xf numFmtId="14" fontId="93" fillId="0" borderId="53" xfId="59" applyNumberFormat="1" applyFont="1" applyBorder="1" applyAlignment="1">
      <alignment horizontal="left"/>
    </xf>
    <xf numFmtId="0" fontId="94" fillId="0" borderId="53" xfId="59" applyFont="1" applyBorder="1"/>
    <xf numFmtId="0" fontId="94" fillId="0" borderId="53" xfId="59" applyFont="1" applyBorder="1" applyAlignment="1">
      <alignment horizontal="left"/>
    </xf>
    <xf numFmtId="0" fontId="30" fillId="0" borderId="33" xfId="59" applyFont="1" applyBorder="1"/>
    <xf numFmtId="0" fontId="75" fillId="0" borderId="33" xfId="59" applyBorder="1" applyAlignment="1">
      <alignment horizontal="right"/>
    </xf>
    <xf numFmtId="0" fontId="75" fillId="0" borderId="38" xfId="59" applyBorder="1" applyAlignment="1">
      <alignment horizontal="right"/>
    </xf>
    <xf numFmtId="14" fontId="86" fillId="0" borderId="38" xfId="59" applyNumberFormat="1" applyFont="1" applyBorder="1" applyAlignment="1">
      <alignment horizontal="right"/>
    </xf>
    <xf numFmtId="14" fontId="86" fillId="0" borderId="33" xfId="59" applyNumberFormat="1" applyFont="1" applyBorder="1" applyAlignment="1">
      <alignment horizontal="right"/>
    </xf>
    <xf numFmtId="0" fontId="95" fillId="0" borderId="0" xfId="59" applyFont="1" applyAlignment="1">
      <alignment horizontal="center"/>
    </xf>
    <xf numFmtId="0" fontId="95" fillId="0" borderId="38" xfId="59" applyFont="1" applyBorder="1" applyAlignment="1">
      <alignment horizontal="center"/>
    </xf>
    <xf numFmtId="0" fontId="96" fillId="0" borderId="0" xfId="59" applyFont="1" applyAlignment="1">
      <alignment horizontal="center"/>
    </xf>
    <xf numFmtId="14" fontId="96" fillId="19" borderId="0" xfId="59" applyNumberFormat="1" applyFont="1" applyFill="1"/>
    <xf numFmtId="0" fontId="11" fillId="21" borderId="0" xfId="99" applyFill="1"/>
    <xf numFmtId="165" fontId="97" fillId="19" borderId="50" xfId="1" applyNumberFormat="1" applyFont="1" applyFill="1" applyBorder="1"/>
    <xf numFmtId="165" fontId="97" fillId="19" borderId="53" xfId="1" applyNumberFormat="1" applyFont="1" applyFill="1" applyBorder="1"/>
    <xf numFmtId="165" fontId="86" fillId="19" borderId="48" xfId="1" applyNumberFormat="1" applyFont="1" applyFill="1" applyBorder="1"/>
    <xf numFmtId="14" fontId="95" fillId="0" borderId="33" xfId="1" applyNumberFormat="1" applyFont="1" applyBorder="1" applyAlignment="1">
      <alignment horizontal="center"/>
    </xf>
    <xf numFmtId="0" fontId="11" fillId="19" borderId="14" xfId="99" applyFill="1" applyBorder="1"/>
    <xf numFmtId="0" fontId="11" fillId="19" borderId="15" xfId="99" applyFill="1" applyBorder="1"/>
    <xf numFmtId="165" fontId="11" fillId="19" borderId="18" xfId="2" applyNumberFormat="1" applyFill="1" applyBorder="1"/>
    <xf numFmtId="165" fontId="11" fillId="19" borderId="5" xfId="2" applyNumberFormat="1" applyFill="1" applyBorder="1"/>
    <xf numFmtId="165" fontId="11" fillId="19" borderId="15" xfId="2" applyNumberFormat="1" applyFill="1" applyBorder="1"/>
    <xf numFmtId="0" fontId="11" fillId="19" borderId="0" xfId="99" applyFill="1"/>
    <xf numFmtId="165" fontId="11" fillId="19" borderId="0" xfId="99" applyNumberFormat="1" applyFill="1"/>
    <xf numFmtId="165" fontId="86" fillId="0" borderId="0" xfId="99" applyNumberFormat="1" applyFont="1"/>
    <xf numFmtId="165" fontId="15" fillId="19" borderId="0" xfId="99" applyNumberFormat="1" applyFont="1" applyFill="1"/>
    <xf numFmtId="165" fontId="15" fillId="21" borderId="0" xfId="99" applyNumberFormat="1" applyFont="1" applyFill="1"/>
    <xf numFmtId="168" fontId="20" fillId="0" borderId="0" xfId="59" applyNumberFormat="1" applyFont="1"/>
    <xf numFmtId="14" fontId="11" fillId="13" borderId="0" xfId="99" applyNumberFormat="1" applyFill="1"/>
    <xf numFmtId="9" fontId="11" fillId="0" borderId="0" xfId="137" applyFont="1"/>
    <xf numFmtId="0" fontId="15" fillId="19" borderId="0" xfId="99" applyFont="1" applyFill="1"/>
    <xf numFmtId="0" fontId="98" fillId="19" borderId="0" xfId="99" applyFont="1" applyFill="1" applyAlignment="1">
      <alignment horizontal="center"/>
    </xf>
    <xf numFmtId="49" fontId="7" fillId="13" borderId="48" xfId="135" applyNumberFormat="1" applyFill="1" applyBorder="1" applyAlignment="1" applyProtection="1">
      <alignment horizontal="center"/>
      <protection locked="0"/>
    </xf>
    <xf numFmtId="0" fontId="75" fillId="0" borderId="69" xfId="59" applyBorder="1" applyAlignment="1">
      <alignment horizontal="center"/>
    </xf>
    <xf numFmtId="0" fontId="4" fillId="0" borderId="0" xfId="42" applyAlignment="1" applyProtection="1">
      <alignment horizontal="center"/>
    </xf>
    <xf numFmtId="0" fontId="30" fillId="0" borderId="69" xfId="59" applyFont="1" applyBorder="1"/>
    <xf numFmtId="0" fontId="6" fillId="19" borderId="0" xfId="102" applyFont="1" applyFill="1" applyAlignment="1">
      <alignment horizontal="center" wrapText="1"/>
    </xf>
    <xf numFmtId="0" fontId="6" fillId="19" borderId="0" xfId="102" applyFont="1" applyFill="1" applyAlignment="1">
      <alignment horizontal="left"/>
    </xf>
    <xf numFmtId="0" fontId="18" fillId="19" borderId="0" xfId="59" applyFont="1" applyFill="1"/>
    <xf numFmtId="0" fontId="89" fillId="19" borderId="0" xfId="59" applyFont="1" applyFill="1"/>
    <xf numFmtId="0" fontId="99" fillId="0" borderId="0" xfId="59" applyFont="1"/>
    <xf numFmtId="14" fontId="99" fillId="0" borderId="32" xfId="59" applyNumberFormat="1" applyFont="1" applyBorder="1"/>
    <xf numFmtId="14" fontId="99" fillId="0" borderId="33" xfId="59" applyNumberFormat="1" applyFont="1" applyBorder="1"/>
    <xf numFmtId="0" fontId="99" fillId="0" borderId="33" xfId="59" applyFont="1" applyBorder="1"/>
    <xf numFmtId="165" fontId="99" fillId="0" borderId="33" xfId="1" applyNumberFormat="1" applyFont="1" applyBorder="1"/>
    <xf numFmtId="165" fontId="99" fillId="0" borderId="34" xfId="1" applyNumberFormat="1" applyFont="1" applyBorder="1"/>
    <xf numFmtId="14" fontId="99" fillId="0" borderId="35" xfId="59" applyNumberFormat="1" applyFont="1" applyBorder="1"/>
    <xf numFmtId="14" fontId="99" fillId="0" borderId="0" xfId="59" applyNumberFormat="1" applyFont="1"/>
    <xf numFmtId="165" fontId="99" fillId="0" borderId="0" xfId="1" applyNumberFormat="1" applyFont="1"/>
    <xf numFmtId="165" fontId="99" fillId="0" borderId="36" xfId="1" applyNumberFormat="1" applyFont="1" applyBorder="1"/>
    <xf numFmtId="14" fontId="99" fillId="0" borderId="37" xfId="59" applyNumberFormat="1" applyFont="1" applyBorder="1"/>
    <xf numFmtId="14" fontId="99" fillId="0" borderId="38" xfId="59" applyNumberFormat="1" applyFont="1" applyBorder="1"/>
    <xf numFmtId="0" fontId="99" fillId="0" borderId="38" xfId="59" applyFont="1" applyBorder="1"/>
    <xf numFmtId="165" fontId="99" fillId="0" borderId="38" xfId="1" applyNumberFormat="1" applyFont="1" applyBorder="1"/>
    <xf numFmtId="165" fontId="99" fillId="0" borderId="39" xfId="1" applyNumberFormat="1" applyFont="1" applyBorder="1"/>
    <xf numFmtId="165" fontId="30" fillId="0" borderId="0" xfId="1" applyNumberFormat="1" applyFont="1"/>
    <xf numFmtId="165" fontId="11" fillId="22" borderId="0" xfId="99" applyNumberFormat="1" applyFill="1"/>
    <xf numFmtId="0" fontId="20" fillId="22" borderId="0" xfId="59" applyFont="1" applyFill="1"/>
    <xf numFmtId="0" fontId="30" fillId="22" borderId="0" xfId="59" applyFont="1" applyFill="1"/>
    <xf numFmtId="0" fontId="20" fillId="19" borderId="0" xfId="59" applyFont="1" applyFill="1"/>
    <xf numFmtId="0" fontId="30" fillId="19" borderId="0" xfId="59" applyFont="1" applyFill="1"/>
    <xf numFmtId="0" fontId="7" fillId="13" borderId="48" xfId="102" applyFill="1" applyBorder="1" applyAlignment="1" applyProtection="1">
      <alignment horizontal="center" vertical="center" wrapText="1"/>
      <protection locked="0"/>
    </xf>
    <xf numFmtId="0" fontId="100" fillId="23" borderId="0" xfId="99" applyFont="1" applyFill="1" applyAlignment="1">
      <alignment horizontal="center"/>
    </xf>
    <xf numFmtId="165" fontId="101" fillId="0" borderId="33" xfId="1" applyNumberFormat="1" applyFont="1" applyBorder="1" applyAlignment="1">
      <alignment horizontal="left"/>
    </xf>
    <xf numFmtId="0" fontId="101" fillId="0" borderId="0" xfId="59" applyFont="1" applyAlignment="1" applyProtection="1">
      <alignment horizontal="center"/>
      <protection locked="0"/>
    </xf>
    <xf numFmtId="165" fontId="101" fillId="0" borderId="38" xfId="1" applyNumberFormat="1" applyFont="1" applyBorder="1" applyAlignment="1" applyProtection="1">
      <alignment horizontal="left"/>
      <protection locked="0"/>
    </xf>
    <xf numFmtId="165" fontId="101" fillId="0" borderId="38" xfId="1" applyNumberFormat="1" applyFont="1" applyBorder="1" applyAlignment="1" applyProtection="1">
      <alignment horizontal="center"/>
      <protection locked="0"/>
    </xf>
    <xf numFmtId="0" fontId="23" fillId="0" borderId="50" xfId="341" applyFont="1" applyBorder="1" applyAlignment="1">
      <alignment wrapText="1"/>
    </xf>
    <xf numFmtId="168" fontId="22" fillId="0" borderId="52" xfId="365" applyNumberFormat="1" applyFont="1" applyBorder="1" applyAlignment="1">
      <alignment horizontal="center" vertical="center" wrapText="1"/>
    </xf>
    <xf numFmtId="0" fontId="3" fillId="0" borderId="0" xfId="338" applyAlignment="1">
      <alignment horizontal="center" vertical="center" wrapText="1"/>
    </xf>
    <xf numFmtId="0" fontId="1" fillId="11" borderId="0" xfId="59" applyFont="1" applyFill="1"/>
    <xf numFmtId="165" fontId="11" fillId="23" borderId="0" xfId="1" applyNumberFormat="1" applyFont="1" applyFill="1"/>
    <xf numFmtId="0" fontId="81" fillId="0" borderId="0" xfId="59" applyFont="1"/>
    <xf numFmtId="0" fontId="81" fillId="0" borderId="69" xfId="59" applyFont="1" applyBorder="1"/>
    <xf numFmtId="0" fontId="118" fillId="0" borderId="0" xfId="59" applyFont="1"/>
    <xf numFmtId="0" fontId="119" fillId="0" borderId="0" xfId="59" applyFont="1" applyAlignment="1">
      <alignment vertical="center" wrapText="1"/>
    </xf>
    <xf numFmtId="0" fontId="101" fillId="23" borderId="0" xfId="59" applyFont="1" applyFill="1" applyAlignment="1" applyProtection="1">
      <alignment horizontal="center"/>
      <protection locked="0"/>
    </xf>
    <xf numFmtId="0" fontId="32" fillId="0" borderId="35" xfId="135" applyFont="1" applyBorder="1" applyAlignment="1">
      <alignment horizontal="left"/>
    </xf>
    <xf numFmtId="0" fontId="32" fillId="0" borderId="0" xfId="135" applyFont="1" applyAlignment="1">
      <alignment horizontal="left"/>
    </xf>
    <xf numFmtId="0" fontId="32" fillId="0" borderId="0" xfId="135" applyFont="1" applyAlignment="1">
      <alignment horizontal="left" wrapText="1"/>
    </xf>
    <xf numFmtId="0" fontId="66" fillId="0" borderId="0" xfId="346" applyFont="1"/>
    <xf numFmtId="0" fontId="3" fillId="0" borderId="0" xfId="364" applyAlignment="1">
      <alignment horizontal="right"/>
    </xf>
    <xf numFmtId="0" fontId="80" fillId="0" borderId="0" xfId="133" applyFont="1" applyAlignment="1" applyProtection="1">
      <alignment wrapText="1"/>
      <protection locked="0"/>
    </xf>
    <xf numFmtId="0" fontId="80" fillId="0" borderId="38" xfId="133" applyFont="1" applyBorder="1" applyAlignment="1" applyProtection="1">
      <alignment wrapText="1"/>
      <protection locked="0"/>
    </xf>
    <xf numFmtId="0" fontId="33" fillId="0" borderId="32" xfId="133" applyFont="1" applyBorder="1"/>
    <xf numFmtId="0" fontId="33" fillId="0" borderId="49" xfId="133" applyFont="1" applyBorder="1" applyAlignment="1">
      <alignment horizontal="right" vertical="center"/>
    </xf>
    <xf numFmtId="0" fontId="33" fillId="0" borderId="0" xfId="133" applyFont="1" applyAlignment="1">
      <alignment vertical="top" wrapText="1"/>
    </xf>
    <xf numFmtId="0" fontId="33" fillId="0" borderId="38" xfId="133" applyFont="1" applyBorder="1" applyAlignment="1">
      <alignment vertical="top" wrapText="1"/>
    </xf>
    <xf numFmtId="0" fontId="33" fillId="0" borderId="32" xfId="133" applyFont="1" applyBorder="1" applyAlignment="1">
      <alignment vertical="center" wrapText="1"/>
    </xf>
    <xf numFmtId="0" fontId="33" fillId="0" borderId="33" xfId="133" applyFont="1" applyBorder="1" applyAlignment="1">
      <alignment vertical="center" wrapText="1"/>
    </xf>
    <xf numFmtId="0" fontId="33" fillId="0" borderId="35" xfId="133" applyFont="1" applyBorder="1" applyAlignment="1">
      <alignment vertical="center" wrapText="1"/>
    </xf>
    <xf numFmtId="0" fontId="33" fillId="0" borderId="0" xfId="133" applyFont="1" applyAlignment="1">
      <alignment vertical="center" wrapText="1"/>
    </xf>
    <xf numFmtId="0" fontId="33" fillId="0" borderId="37" xfId="133" applyFont="1" applyBorder="1" applyAlignment="1">
      <alignment vertical="center" wrapText="1"/>
    </xf>
    <xf numFmtId="0" fontId="33" fillId="0" borderId="38" xfId="133" applyFont="1" applyBorder="1" applyAlignment="1">
      <alignment vertical="center" wrapText="1"/>
    </xf>
    <xf numFmtId="0" fontId="120" fillId="0" borderId="0" xfId="59" applyFont="1" applyAlignment="1">
      <alignment horizontal="left"/>
    </xf>
    <xf numFmtId="0" fontId="120" fillId="0" borderId="69" xfId="59" applyFont="1" applyBorder="1" applyAlignment="1">
      <alignment horizontal="left"/>
    </xf>
    <xf numFmtId="0" fontId="59" fillId="0" borderId="0" xfId="0" applyFont="1" applyAlignment="1">
      <alignment horizontal="center"/>
    </xf>
    <xf numFmtId="0" fontId="102" fillId="0" borderId="0" xfId="59" applyFont="1" applyAlignment="1">
      <alignment horizontal="center"/>
    </xf>
    <xf numFmtId="0" fontId="32" fillId="13" borderId="37" xfId="132" applyFont="1" applyFill="1" applyBorder="1" applyAlignment="1" applyProtection="1">
      <alignment horizontal="left" wrapText="1"/>
      <protection locked="0"/>
    </xf>
    <xf numFmtId="0" fontId="32" fillId="13" borderId="38" xfId="132" applyFont="1" applyFill="1" applyBorder="1" applyAlignment="1" applyProtection="1">
      <alignment horizontal="left" wrapText="1"/>
      <protection locked="0"/>
    </xf>
    <xf numFmtId="0" fontId="32" fillId="13" borderId="39" xfId="132" applyFont="1" applyFill="1" applyBorder="1" applyAlignment="1" applyProtection="1">
      <alignment horizontal="left" wrapText="1"/>
      <protection locked="0"/>
    </xf>
    <xf numFmtId="0" fontId="107" fillId="15" borderId="35" xfId="59" applyFont="1" applyFill="1" applyBorder="1" applyAlignment="1">
      <alignment horizontal="center" wrapText="1"/>
    </xf>
    <xf numFmtId="0" fontId="107" fillId="15" borderId="0" xfId="59" applyFont="1" applyFill="1" applyAlignment="1">
      <alignment horizontal="center" wrapText="1"/>
    </xf>
    <xf numFmtId="0" fontId="72" fillId="0" borderId="58" xfId="53" applyFont="1" applyBorder="1" applyAlignment="1">
      <alignment horizontal="center" vertical="center"/>
    </xf>
    <xf numFmtId="0" fontId="72" fillId="0" borderId="59" xfId="53" applyFont="1" applyBorder="1" applyAlignment="1">
      <alignment horizontal="center" vertical="center"/>
    </xf>
    <xf numFmtId="0" fontId="72" fillId="0" borderId="60" xfId="53" applyFont="1" applyBorder="1" applyAlignment="1">
      <alignment horizontal="center" vertical="center"/>
    </xf>
    <xf numFmtId="0" fontId="105" fillId="24" borderId="0" xfId="0" applyFont="1" applyFill="1" applyAlignment="1">
      <alignment horizontal="center" vertical="center" wrapText="1"/>
    </xf>
    <xf numFmtId="0" fontId="77" fillId="0" borderId="0" xfId="59" applyFont="1" applyAlignment="1">
      <alignment horizontal="center"/>
    </xf>
    <xf numFmtId="0" fontId="59" fillId="14" borderId="0" xfId="0" applyFont="1" applyFill="1" applyAlignment="1">
      <alignment horizontal="center" wrapText="1"/>
    </xf>
    <xf numFmtId="168" fontId="58" fillId="14" borderId="0" xfId="137" applyNumberFormat="1" applyFont="1" applyFill="1" applyAlignment="1">
      <alignment horizontal="center" vertical="center" wrapText="1"/>
    </xf>
    <xf numFmtId="0" fontId="65" fillId="0" borderId="55" xfId="49" applyFont="1" applyBorder="1" applyAlignment="1">
      <alignment horizontal="center" vertical="center"/>
    </xf>
    <xf numFmtId="0" fontId="65" fillId="0" borderId="56" xfId="49" applyFont="1" applyBorder="1" applyAlignment="1">
      <alignment horizontal="center" vertical="center"/>
    </xf>
    <xf numFmtId="0" fontId="65" fillId="0" borderId="57" xfId="49" applyFont="1" applyBorder="1" applyAlignment="1">
      <alignment horizontal="center" vertical="center"/>
    </xf>
    <xf numFmtId="0" fontId="103" fillId="24" borderId="0" xfId="47" applyFont="1" applyFill="1" applyAlignment="1">
      <alignment horizontal="center" wrapText="1"/>
    </xf>
    <xf numFmtId="0" fontId="103" fillId="24" borderId="69" xfId="47" applyFont="1" applyFill="1" applyBorder="1" applyAlignment="1">
      <alignment horizontal="center" wrapText="1"/>
    </xf>
    <xf numFmtId="0" fontId="30" fillId="0" borderId="0" xfId="59" applyFont="1" applyAlignment="1">
      <alignment horizontal="center"/>
    </xf>
    <xf numFmtId="0" fontId="33" fillId="14" borderId="0" xfId="0" applyFont="1" applyFill="1" applyAlignment="1">
      <alignment horizontal="center" wrapText="1"/>
    </xf>
    <xf numFmtId="0" fontId="64" fillId="0" borderId="0" xfId="59" applyFont="1" applyAlignment="1">
      <alignment horizontal="center" vertical="center"/>
    </xf>
    <xf numFmtId="0" fontId="20" fillId="0" borderId="0" xfId="59" applyFont="1" applyAlignment="1">
      <alignment horizontal="center"/>
    </xf>
    <xf numFmtId="0" fontId="20" fillId="0" borderId="69" xfId="59" applyFont="1" applyBorder="1" applyAlignment="1">
      <alignment horizontal="center"/>
    </xf>
    <xf numFmtId="0" fontId="75" fillId="0" borderId="0" xfId="59" applyAlignment="1">
      <alignment horizontal="right"/>
    </xf>
    <xf numFmtId="0" fontId="75" fillId="0" borderId="36" xfId="59" applyBorder="1" applyAlignment="1">
      <alignment horizontal="right"/>
    </xf>
    <xf numFmtId="0" fontId="92" fillId="0" borderId="0" xfId="59" applyFont="1" applyAlignment="1">
      <alignment horizontal="right"/>
    </xf>
    <xf numFmtId="0" fontId="22" fillId="0" borderId="38" xfId="0" applyFont="1" applyBorder="1" applyAlignment="1">
      <alignment horizontal="center"/>
    </xf>
    <xf numFmtId="0" fontId="22" fillId="0" borderId="53" xfId="0" applyFont="1" applyBorder="1" applyAlignment="1">
      <alignment horizontal="center"/>
    </xf>
    <xf numFmtId="0" fontId="109" fillId="24" borderId="0" xfId="47" applyFont="1" applyFill="1" applyAlignment="1">
      <alignment horizontal="center" wrapText="1"/>
    </xf>
    <xf numFmtId="0" fontId="33" fillId="0" borderId="50" xfId="132" applyFont="1" applyBorder="1" applyAlignment="1">
      <alignment horizontal="right" vertical="center"/>
    </xf>
    <xf numFmtId="0" fontId="33" fillId="0" borderId="53" xfId="132" applyFont="1" applyBorder="1" applyAlignment="1">
      <alignment horizontal="right" vertical="center"/>
    </xf>
    <xf numFmtId="0" fontId="32" fillId="13" borderId="50" xfId="132" applyFont="1" applyFill="1" applyBorder="1" applyAlignment="1" applyProtection="1">
      <alignment horizontal="left" wrapText="1"/>
      <protection locked="0"/>
    </xf>
    <xf numFmtId="0" fontId="32" fillId="13" borderId="53" xfId="132" applyFont="1" applyFill="1" applyBorder="1" applyAlignment="1" applyProtection="1">
      <alignment horizontal="left" wrapText="1"/>
      <protection locked="0"/>
    </xf>
    <xf numFmtId="0" fontId="33" fillId="0" borderId="50" xfId="134" applyFont="1" applyBorder="1" applyAlignment="1">
      <alignment horizontal="right" vertical="center"/>
    </xf>
    <xf numFmtId="0" fontId="33" fillId="0" borderId="52" xfId="134" applyFont="1" applyBorder="1" applyAlignment="1">
      <alignment horizontal="right" vertical="center"/>
    </xf>
    <xf numFmtId="0" fontId="32" fillId="13" borderId="50" xfId="134" applyFont="1" applyFill="1" applyBorder="1" applyAlignment="1" applyProtection="1">
      <alignment horizontal="left" wrapText="1"/>
      <protection locked="0"/>
    </xf>
    <xf numFmtId="0" fontId="32" fillId="13" borderId="52" xfId="134" applyFont="1" applyFill="1" applyBorder="1" applyAlignment="1" applyProtection="1">
      <alignment horizontal="left" wrapText="1"/>
      <protection locked="0"/>
    </xf>
    <xf numFmtId="0" fontId="33" fillId="13" borderId="50" xfId="134" applyFont="1" applyFill="1" applyBorder="1" applyAlignment="1" applyProtection="1">
      <alignment horizontal="left"/>
      <protection locked="0"/>
    </xf>
    <xf numFmtId="0" fontId="33" fillId="13" borderId="53" xfId="134" applyFont="1" applyFill="1" applyBorder="1" applyAlignment="1" applyProtection="1">
      <alignment horizontal="left"/>
      <protection locked="0"/>
    </xf>
    <xf numFmtId="0" fontId="33" fillId="13" borderId="52" xfId="134" applyFont="1" applyFill="1" applyBorder="1" applyAlignment="1" applyProtection="1">
      <alignment horizontal="left"/>
      <protection locked="0"/>
    </xf>
    <xf numFmtId="0" fontId="52" fillId="0" borderId="0" xfId="0" applyFont="1" applyAlignment="1">
      <alignment horizontal="center" vertical="center" wrapText="1"/>
    </xf>
    <xf numFmtId="0" fontId="108" fillId="0" borderId="0" xfId="0" applyFont="1" applyAlignment="1">
      <alignment horizontal="center" vertical="center" wrapText="1"/>
    </xf>
    <xf numFmtId="0" fontId="106" fillId="15" borderId="35" xfId="132" applyFont="1" applyFill="1" applyBorder="1" applyAlignment="1">
      <alignment horizontal="center" vertical="center" wrapText="1"/>
    </xf>
    <xf numFmtId="0" fontId="106" fillId="15" borderId="0" xfId="132" applyFont="1" applyFill="1" applyAlignment="1">
      <alignment horizontal="center" vertical="center" wrapText="1"/>
    </xf>
    <xf numFmtId="0" fontId="106" fillId="15" borderId="37" xfId="132" applyFont="1" applyFill="1" applyBorder="1" applyAlignment="1">
      <alignment horizontal="center" vertical="center" wrapText="1"/>
    </xf>
    <xf numFmtId="0" fontId="106" fillId="15" borderId="38" xfId="132" applyFont="1" applyFill="1" applyBorder="1" applyAlignment="1">
      <alignment horizontal="center" vertical="center" wrapText="1"/>
    </xf>
    <xf numFmtId="0" fontId="33" fillId="0" borderId="32" xfId="132" applyFont="1" applyBorder="1" applyAlignment="1">
      <alignment horizontal="right"/>
    </xf>
    <xf numFmtId="0" fontId="33" fillId="0" borderId="34" xfId="132" applyFont="1" applyBorder="1" applyAlignment="1">
      <alignment horizontal="right"/>
    </xf>
    <xf numFmtId="0" fontId="33" fillId="13" borderId="50" xfId="132" applyFont="1" applyFill="1" applyBorder="1" applyAlignment="1" applyProtection="1">
      <alignment horizontal="left"/>
      <protection locked="0"/>
    </xf>
    <xf numFmtId="0" fontId="33" fillId="13" borderId="53" xfId="132" applyFont="1" applyFill="1" applyBorder="1" applyAlignment="1" applyProtection="1">
      <alignment horizontal="left"/>
      <protection locked="0"/>
    </xf>
    <xf numFmtId="0" fontId="33" fillId="13" borderId="52" xfId="132" applyFont="1" applyFill="1" applyBorder="1" applyAlignment="1" applyProtection="1">
      <alignment horizontal="left"/>
      <protection locked="0"/>
    </xf>
    <xf numFmtId="0" fontId="56" fillId="0" borderId="32" xfId="104" applyFont="1" applyBorder="1" applyAlignment="1">
      <alignment horizontal="right" wrapText="1"/>
    </xf>
    <xf numFmtId="0" fontId="56" fillId="0" borderId="33" xfId="104" applyFont="1" applyBorder="1" applyAlignment="1">
      <alignment horizontal="right" wrapText="1"/>
    </xf>
    <xf numFmtId="0" fontId="56" fillId="0" borderId="34" xfId="104" applyFont="1" applyBorder="1" applyAlignment="1">
      <alignment horizontal="right" wrapText="1"/>
    </xf>
    <xf numFmtId="0" fontId="32" fillId="0" borderId="35" xfId="104" applyFont="1" applyBorder="1" applyAlignment="1">
      <alignment horizontal="center" wrapText="1"/>
    </xf>
    <xf numFmtId="0" fontId="32" fillId="0" borderId="0" xfId="104" applyFont="1" applyAlignment="1">
      <alignment horizontal="center" wrapText="1"/>
    </xf>
    <xf numFmtId="0" fontId="110" fillId="0" borderId="48" xfId="104" applyFont="1" applyBorder="1" applyAlignment="1">
      <alignment horizontal="right"/>
    </xf>
    <xf numFmtId="0" fontId="84" fillId="0" borderId="48" xfId="104" applyFont="1" applyBorder="1" applyAlignment="1">
      <alignment horizontal="right"/>
    </xf>
    <xf numFmtId="0" fontId="75" fillId="13" borderId="32" xfId="59" applyFill="1" applyBorder="1" applyAlignment="1" applyProtection="1">
      <alignment horizontal="left" vertical="top" wrapText="1"/>
      <protection locked="0"/>
    </xf>
    <xf numFmtId="0" fontId="75" fillId="13" borderId="33" xfId="59" applyFill="1" applyBorder="1" applyAlignment="1" applyProtection="1">
      <alignment horizontal="left" vertical="top" wrapText="1"/>
      <protection locked="0"/>
    </xf>
    <xf numFmtId="0" fontId="75" fillId="13" borderId="34" xfId="59" applyFill="1" applyBorder="1" applyAlignment="1" applyProtection="1">
      <alignment horizontal="left" vertical="top" wrapText="1"/>
      <protection locked="0"/>
    </xf>
    <xf numFmtId="0" fontId="75" fillId="13" borderId="35" xfId="59" applyFill="1" applyBorder="1" applyAlignment="1" applyProtection="1">
      <alignment horizontal="left" vertical="top" wrapText="1"/>
      <protection locked="0"/>
    </xf>
    <xf numFmtId="0" fontId="75" fillId="13" borderId="0" xfId="59" applyFill="1" applyAlignment="1" applyProtection="1">
      <alignment horizontal="left" vertical="top" wrapText="1"/>
      <protection locked="0"/>
    </xf>
    <xf numFmtId="0" fontId="75" fillId="13" borderId="36" xfId="59" applyFill="1" applyBorder="1" applyAlignment="1" applyProtection="1">
      <alignment horizontal="left" vertical="top" wrapText="1"/>
      <protection locked="0"/>
    </xf>
    <xf numFmtId="0" fontId="75" fillId="13" borderId="37" xfId="59" applyFill="1" applyBorder="1" applyAlignment="1" applyProtection="1">
      <alignment horizontal="left" vertical="top" wrapText="1"/>
      <protection locked="0"/>
    </xf>
    <xf numFmtId="0" fontId="75" fillId="13" borderId="38" xfId="59" applyFill="1" applyBorder="1" applyAlignment="1" applyProtection="1">
      <alignment horizontal="left" vertical="top" wrapText="1"/>
      <protection locked="0"/>
    </xf>
    <xf numFmtId="0" fontId="75" fillId="13" borderId="39" xfId="59" applyFill="1" applyBorder="1" applyAlignment="1" applyProtection="1">
      <alignment horizontal="left" vertical="top" wrapText="1"/>
      <protection locked="0"/>
    </xf>
    <xf numFmtId="0" fontId="56" fillId="0" borderId="37" xfId="104" applyFont="1" applyBorder="1" applyAlignment="1">
      <alignment horizontal="right" wrapText="1"/>
    </xf>
    <xf numFmtId="0" fontId="56" fillId="0" borderId="38" xfId="104" applyFont="1" applyBorder="1" applyAlignment="1">
      <alignment horizontal="right" wrapText="1"/>
    </xf>
    <xf numFmtId="0" fontId="56" fillId="0" borderId="39" xfId="104" applyFont="1" applyBorder="1" applyAlignment="1">
      <alignment horizontal="right" wrapText="1"/>
    </xf>
    <xf numFmtId="0" fontId="52" fillId="0" borderId="0" xfId="111" applyFont="1" applyAlignment="1">
      <alignment horizontal="center" vertical="center" wrapText="1"/>
    </xf>
    <xf numFmtId="0" fontId="108" fillId="15" borderId="35" xfId="115" applyFont="1" applyFill="1" applyBorder="1" applyAlignment="1">
      <alignment horizontal="center" vertical="center" wrapText="1"/>
    </xf>
    <xf numFmtId="0" fontId="108" fillId="15" borderId="0" xfId="115" applyFont="1" applyFill="1" applyAlignment="1">
      <alignment horizontal="center" vertical="center" wrapText="1"/>
    </xf>
    <xf numFmtId="0" fontId="108" fillId="15" borderId="35" xfId="115" applyFont="1" applyFill="1" applyBorder="1" applyAlignment="1">
      <alignment horizontal="center" wrapText="1"/>
    </xf>
    <xf numFmtId="0" fontId="108" fillId="15" borderId="0" xfId="115" applyFont="1" applyFill="1" applyAlignment="1">
      <alignment horizontal="center" wrapText="1"/>
    </xf>
    <xf numFmtId="0" fontId="116" fillId="25" borderId="0" xfId="285" applyFont="1" applyFill="1" applyAlignment="1">
      <alignment horizontal="center" vertical="center" wrapText="1"/>
    </xf>
    <xf numFmtId="0" fontId="84" fillId="0" borderId="0" xfId="100" applyFont="1" applyAlignment="1">
      <alignment horizontal="center" wrapText="1"/>
    </xf>
    <xf numFmtId="0" fontId="111" fillId="0" borderId="0" xfId="57" applyFont="1" applyAlignment="1">
      <alignment horizontal="right" vertical="center"/>
    </xf>
    <xf numFmtId="0" fontId="111" fillId="0" borderId="0" xfId="100" applyFont="1" applyAlignment="1">
      <alignment horizontal="right"/>
    </xf>
    <xf numFmtId="0" fontId="42" fillId="0" borderId="0" xfId="100" applyFont="1" applyAlignment="1">
      <alignment horizontal="center" wrapText="1"/>
    </xf>
    <xf numFmtId="0" fontId="33" fillId="13" borderId="50" xfId="102" applyFont="1" applyFill="1" applyBorder="1" applyAlignment="1" applyProtection="1">
      <alignment horizontal="left" vertical="center" wrapText="1"/>
      <protection locked="0"/>
    </xf>
    <xf numFmtId="0" fontId="33" fillId="13" borderId="52" xfId="102" applyFont="1" applyFill="1" applyBorder="1" applyAlignment="1" applyProtection="1">
      <alignment horizontal="left" vertical="center" wrapText="1"/>
      <protection locked="0"/>
    </xf>
    <xf numFmtId="0" fontId="7" fillId="13" borderId="50" xfId="102" applyFill="1" applyBorder="1" applyAlignment="1" applyProtection="1">
      <alignment horizontal="center" wrapText="1"/>
      <protection locked="0"/>
    </xf>
    <xf numFmtId="0" fontId="33" fillId="13" borderId="52" xfId="102" applyFont="1" applyFill="1" applyBorder="1" applyAlignment="1" applyProtection="1">
      <alignment horizontal="center" wrapText="1"/>
      <protection locked="0"/>
    </xf>
    <xf numFmtId="0" fontId="3" fillId="0" borderId="33" xfId="338" applyBorder="1" applyAlignment="1">
      <alignment horizontal="center" vertical="center" wrapText="1"/>
    </xf>
    <xf numFmtId="0" fontId="3" fillId="0" borderId="0" xfId="338" applyAlignment="1">
      <alignment horizontal="center" vertical="center" wrapText="1"/>
    </xf>
    <xf numFmtId="0" fontId="33" fillId="13" borderId="50" xfId="102" applyFont="1" applyFill="1" applyBorder="1" applyAlignment="1" applyProtection="1">
      <alignment horizontal="center" wrapText="1"/>
      <protection locked="0"/>
    </xf>
    <xf numFmtId="0" fontId="111" fillId="0" borderId="0" xfId="100" applyFont="1" applyAlignment="1">
      <alignment horizontal="right" vertical="center"/>
    </xf>
    <xf numFmtId="0" fontId="80" fillId="13" borderId="50" xfId="133" applyFont="1" applyFill="1" applyBorder="1" applyAlignment="1" applyProtection="1">
      <alignment horizontal="left" wrapText="1"/>
      <protection locked="0"/>
    </xf>
    <xf numFmtId="0" fontId="80" fillId="13" borderId="53" xfId="133" applyFont="1" applyFill="1" applyBorder="1" applyAlignment="1" applyProtection="1">
      <alignment horizontal="left" wrapText="1"/>
      <protection locked="0"/>
    </xf>
    <xf numFmtId="0" fontId="80" fillId="13" borderId="52" xfId="133" applyFont="1" applyFill="1" applyBorder="1" applyAlignment="1" applyProtection="1">
      <alignment horizontal="left" wrapText="1"/>
      <protection locked="0"/>
    </xf>
    <xf numFmtId="0" fontId="33" fillId="0" borderId="50" xfId="131" applyFont="1" applyBorder="1" applyAlignment="1">
      <alignment horizontal="right" vertical="center"/>
    </xf>
    <xf numFmtId="0" fontId="33" fillId="0" borderId="53" xfId="131" applyFont="1" applyBorder="1" applyAlignment="1">
      <alignment horizontal="right" vertical="center"/>
    </xf>
    <xf numFmtId="0" fontId="112" fillId="0" borderId="0" xfId="70" applyFont="1" applyAlignment="1">
      <alignment horizontal="center" wrapText="1"/>
    </xf>
    <xf numFmtId="0" fontId="33" fillId="0" borderId="32" xfId="131" applyFont="1" applyBorder="1" applyAlignment="1">
      <alignment horizontal="right"/>
    </xf>
    <xf numFmtId="0" fontId="33" fillId="0" borderId="34" xfId="131" applyFont="1" applyBorder="1" applyAlignment="1">
      <alignment horizontal="right"/>
    </xf>
    <xf numFmtId="0" fontId="33" fillId="0" borderId="50" xfId="133" applyFont="1" applyBorder="1" applyAlignment="1">
      <alignment horizontal="right" vertical="center"/>
    </xf>
    <xf numFmtId="0" fontId="33" fillId="0" borderId="52" xfId="133" applyFont="1" applyBorder="1" applyAlignment="1">
      <alignment horizontal="right" vertical="center"/>
    </xf>
    <xf numFmtId="0" fontId="80" fillId="13" borderId="32" xfId="133" applyFont="1" applyFill="1" applyBorder="1" applyAlignment="1" applyProtection="1">
      <alignment horizontal="left" wrapText="1"/>
      <protection locked="0"/>
    </xf>
    <xf numFmtId="0" fontId="80" fillId="13" borderId="34" xfId="133" applyFont="1" applyFill="1" applyBorder="1" applyAlignment="1" applyProtection="1">
      <alignment horizontal="left" wrapText="1"/>
      <protection locked="0"/>
    </xf>
    <xf numFmtId="0" fontId="3" fillId="13" borderId="50" xfId="133" applyFont="1" applyFill="1" applyBorder="1" applyAlignment="1" applyProtection="1">
      <alignment horizontal="left"/>
      <protection locked="0"/>
    </xf>
    <xf numFmtId="0" fontId="33" fillId="13" borderId="53" xfId="133" applyFont="1" applyFill="1" applyBorder="1" applyAlignment="1" applyProtection="1">
      <alignment horizontal="left"/>
      <protection locked="0"/>
    </xf>
    <xf numFmtId="0" fontId="33" fillId="13" borderId="52" xfId="133" applyFont="1" applyFill="1" applyBorder="1" applyAlignment="1" applyProtection="1">
      <alignment horizontal="left"/>
      <protection locked="0"/>
    </xf>
    <xf numFmtId="0" fontId="113" fillId="0" borderId="0" xfId="59" applyFont="1" applyAlignment="1">
      <alignment horizontal="center" vertical="center" wrapText="1"/>
    </xf>
    <xf numFmtId="0" fontId="114" fillId="0" borderId="0" xfId="59" applyFont="1" applyAlignment="1">
      <alignment horizontal="center" vertical="center" wrapText="1"/>
    </xf>
    <xf numFmtId="0" fontId="114" fillId="0" borderId="38" xfId="59" applyFont="1" applyBorder="1" applyAlignment="1">
      <alignment horizontal="center" vertical="center" wrapText="1"/>
    </xf>
    <xf numFmtId="0" fontId="84" fillId="0" borderId="0" xfId="113" applyFont="1" applyAlignment="1">
      <alignment horizontal="center" vertical="center"/>
    </xf>
    <xf numFmtId="0" fontId="92" fillId="0" borderId="0" xfId="59" applyFont="1" applyAlignment="1">
      <alignment horizontal="center" vertical="center" wrapText="1"/>
    </xf>
    <xf numFmtId="0" fontId="104" fillId="0" borderId="0" xfId="59" applyFont="1" applyAlignment="1">
      <alignment horizontal="center"/>
    </xf>
    <xf numFmtId="0" fontId="7" fillId="13" borderId="50" xfId="133" applyFill="1" applyBorder="1" applyAlignment="1" applyProtection="1">
      <alignment horizontal="left"/>
      <protection locked="0"/>
    </xf>
    <xf numFmtId="0" fontId="113" fillId="13" borderId="53" xfId="133" applyFont="1" applyFill="1" applyBorder="1" applyAlignment="1" applyProtection="1">
      <alignment horizontal="left"/>
      <protection locked="0"/>
    </xf>
    <xf numFmtId="0" fontId="113" fillId="13" borderId="52" xfId="133" applyFont="1" applyFill="1" applyBorder="1" applyAlignment="1" applyProtection="1">
      <alignment horizontal="left"/>
      <protection locked="0"/>
    </xf>
    <xf numFmtId="0" fontId="3" fillId="0" borderId="33" xfId="133" applyFont="1" applyBorder="1" applyAlignment="1">
      <alignment horizontal="right"/>
    </xf>
    <xf numFmtId="0" fontId="3" fillId="0" borderId="34" xfId="133" applyFont="1" applyBorder="1" applyAlignment="1">
      <alignment horizontal="right"/>
    </xf>
    <xf numFmtId="0" fontId="35" fillId="0" borderId="50" xfId="135" applyFont="1" applyBorder="1" applyAlignment="1">
      <alignment horizontal="right" vertical="center"/>
    </xf>
    <xf numFmtId="0" fontId="35" fillId="0" borderId="52" xfId="135" applyFont="1" applyBorder="1" applyAlignment="1">
      <alignment horizontal="right" vertical="center"/>
    </xf>
    <xf numFmtId="0" fontId="36" fillId="13" borderId="50" xfId="135" applyFont="1" applyFill="1" applyBorder="1" applyAlignment="1" applyProtection="1">
      <alignment horizontal="left" wrapText="1"/>
      <protection locked="0"/>
    </xf>
    <xf numFmtId="0" fontId="36" fillId="13" borderId="53" xfId="135" applyFont="1" applyFill="1" applyBorder="1" applyAlignment="1" applyProtection="1">
      <alignment horizontal="left" wrapText="1"/>
      <protection locked="0"/>
    </xf>
    <xf numFmtId="0" fontId="36" fillId="13" borderId="52" xfId="135" applyFont="1" applyFill="1" applyBorder="1" applyAlignment="1" applyProtection="1">
      <alignment horizontal="left" wrapText="1"/>
      <protection locked="0"/>
    </xf>
    <xf numFmtId="0" fontId="32" fillId="13" borderId="50" xfId="135" applyFont="1" applyFill="1" applyBorder="1" applyAlignment="1" applyProtection="1">
      <alignment horizontal="left" wrapText="1"/>
      <protection locked="0"/>
    </xf>
    <xf numFmtId="0" fontId="32" fillId="13" borderId="53" xfId="135" applyFont="1" applyFill="1" applyBorder="1" applyAlignment="1" applyProtection="1">
      <alignment horizontal="left" wrapText="1"/>
      <protection locked="0"/>
    </xf>
    <xf numFmtId="0" fontId="32" fillId="13" borderId="52" xfId="135" applyFont="1" applyFill="1" applyBorder="1" applyAlignment="1" applyProtection="1">
      <alignment horizontal="left" wrapText="1"/>
      <protection locked="0"/>
    </xf>
    <xf numFmtId="0" fontId="38" fillId="25" borderId="0" xfId="55" applyFont="1" applyFill="1" applyAlignment="1">
      <alignment horizontal="center" vertical="center" wrapText="1"/>
    </xf>
    <xf numFmtId="0" fontId="6" fillId="0" borderId="35" xfId="364" applyFont="1" applyBorder="1" applyAlignment="1">
      <alignment horizontal="center"/>
    </xf>
    <xf numFmtId="0" fontId="6" fillId="0" borderId="0" xfId="364" applyFont="1" applyAlignment="1">
      <alignment horizontal="center"/>
    </xf>
    <xf numFmtId="0" fontId="53" fillId="0" borderId="0" xfId="102" applyFont="1" applyAlignment="1">
      <alignment horizontal="center" wrapText="1"/>
    </xf>
    <xf numFmtId="0" fontId="53" fillId="0" borderId="38" xfId="102" applyFont="1" applyBorder="1" applyAlignment="1">
      <alignment horizontal="center" wrapText="1"/>
    </xf>
    <xf numFmtId="0" fontId="54" fillId="0" borderId="38" xfId="102" applyFont="1" applyBorder="1" applyAlignment="1">
      <alignment horizontal="center" vertical="center" wrapText="1"/>
    </xf>
    <xf numFmtId="0" fontId="3" fillId="13" borderId="50" xfId="102" applyFont="1" applyFill="1" applyBorder="1" applyAlignment="1" applyProtection="1">
      <alignment horizontal="center" wrapText="1"/>
      <protection locked="0"/>
    </xf>
    <xf numFmtId="0" fontId="103" fillId="24" borderId="0" xfId="47" applyFont="1" applyFill="1" applyAlignment="1">
      <alignment horizontal="center" vertical="center" wrapText="1"/>
    </xf>
    <xf numFmtId="0" fontId="34" fillId="0" borderId="37" xfId="43" applyFont="1" applyBorder="1" applyAlignment="1">
      <alignment horizontal="right"/>
    </xf>
    <xf numFmtId="0" fontId="34" fillId="0" borderId="39" xfId="43" applyFont="1" applyBorder="1" applyAlignment="1">
      <alignment horizontal="right"/>
    </xf>
    <xf numFmtId="0" fontId="34" fillId="0" borderId="48" xfId="43" applyFont="1" applyBorder="1" applyAlignment="1">
      <alignment horizontal="right" wrapText="1"/>
    </xf>
    <xf numFmtId="0" fontId="42" fillId="0" borderId="35" xfId="43" applyFont="1" applyBorder="1" applyAlignment="1">
      <alignment horizontal="center" wrapText="1"/>
    </xf>
    <xf numFmtId="0" fontId="42" fillId="0" borderId="0" xfId="43" applyFont="1" applyAlignment="1">
      <alignment horizontal="center" wrapText="1"/>
    </xf>
    <xf numFmtId="0" fontId="39" fillId="0" borderId="0" xfId="43" applyFont="1" applyAlignment="1">
      <alignment horizontal="center" vertical="center" wrapText="1"/>
    </xf>
    <xf numFmtId="0" fontId="39" fillId="0" borderId="0" xfId="43" quotePrefix="1" applyFont="1" applyAlignment="1">
      <alignment horizontal="center" vertical="center" wrapText="1"/>
    </xf>
    <xf numFmtId="0" fontId="11" fillId="0" borderId="61" xfId="99" applyBorder="1" applyAlignment="1">
      <alignment horizontal="center"/>
    </xf>
    <xf numFmtId="0" fontId="11" fillId="0" borderId="3" xfId="99" applyBorder="1" applyAlignment="1">
      <alignment horizontal="center"/>
    </xf>
    <xf numFmtId="0" fontId="11" fillId="0" borderId="0" xfId="99" applyAlignment="1">
      <alignment horizontal="center"/>
    </xf>
    <xf numFmtId="0" fontId="11" fillId="0" borderId="18" xfId="99" applyBorder="1" applyAlignment="1">
      <alignment horizontal="center"/>
    </xf>
    <xf numFmtId="0" fontId="11" fillId="0" borderId="46" xfId="99" applyBorder="1" applyAlignment="1">
      <alignment horizontal="center"/>
    </xf>
    <xf numFmtId="0" fontId="11" fillId="19" borderId="61" xfId="99" applyFill="1" applyBorder="1" applyAlignment="1">
      <alignment horizontal="center"/>
    </xf>
    <xf numFmtId="0" fontId="11" fillId="19" borderId="3" xfId="99" applyFill="1" applyBorder="1" applyAlignment="1">
      <alignment horizontal="center"/>
    </xf>
    <xf numFmtId="0" fontId="11" fillId="19" borderId="18" xfId="99" applyFill="1" applyBorder="1" applyAlignment="1">
      <alignment horizontal="center"/>
    </xf>
    <xf numFmtId="0" fontId="11" fillId="19" borderId="5" xfId="99" applyFill="1" applyBorder="1" applyAlignment="1">
      <alignment horizontal="center"/>
    </xf>
    <xf numFmtId="0" fontId="11" fillId="0" borderId="5" xfId="99" applyBorder="1" applyAlignment="1">
      <alignment horizontal="center"/>
    </xf>
    <xf numFmtId="0" fontId="16" fillId="2" borderId="0" xfId="99" applyFont="1" applyFill="1" applyAlignment="1">
      <alignment horizontal="center" wrapText="1"/>
    </xf>
    <xf numFmtId="0" fontId="15" fillId="5" borderId="0" xfId="99" applyFont="1" applyFill="1" applyAlignment="1">
      <alignment horizontal="center"/>
    </xf>
    <xf numFmtId="0" fontId="11" fillId="3" borderId="62" xfId="99" applyFill="1" applyBorder="1" applyAlignment="1">
      <alignment horizontal="center"/>
    </xf>
    <xf numFmtId="0" fontId="11" fillId="3" borderId="63" xfId="99" applyFill="1" applyBorder="1" applyAlignment="1">
      <alignment horizontal="center"/>
    </xf>
    <xf numFmtId="0" fontId="11" fillId="3" borderId="64" xfId="99" applyFill="1" applyBorder="1" applyAlignment="1">
      <alignment horizontal="center"/>
    </xf>
    <xf numFmtId="0" fontId="20" fillId="4" borderId="0" xfId="99" applyFont="1" applyFill="1" applyAlignment="1">
      <alignment horizontal="center"/>
    </xf>
    <xf numFmtId="0" fontId="13" fillId="6" borderId="0" xfId="99" applyFont="1" applyFill="1" applyAlignment="1">
      <alignment horizontal="center"/>
    </xf>
  </cellXfs>
  <cellStyles count="367">
    <cellStyle name="Comma" xfId="1" builtinId="3"/>
    <cellStyle name="Comma 2" xfId="2" xr:uid="{00000000-0005-0000-0000-000001000000}"/>
    <cellStyle name="Comma 2 10" xfId="3" xr:uid="{00000000-0005-0000-0000-000002000000}"/>
    <cellStyle name="Comma 2 11" xfId="4" xr:uid="{00000000-0005-0000-0000-000003000000}"/>
    <cellStyle name="Comma 2 12" xfId="5" xr:uid="{00000000-0005-0000-0000-000004000000}"/>
    <cellStyle name="Comma 2 13" xfId="6" xr:uid="{00000000-0005-0000-0000-000005000000}"/>
    <cellStyle name="Comma 2 14" xfId="7" xr:uid="{00000000-0005-0000-0000-000006000000}"/>
    <cellStyle name="Comma 2 15" xfId="8" xr:uid="{00000000-0005-0000-0000-000007000000}"/>
    <cellStyle name="Comma 2 16" xfId="9" xr:uid="{00000000-0005-0000-0000-000008000000}"/>
    <cellStyle name="Comma 2 17" xfId="10" xr:uid="{00000000-0005-0000-0000-000009000000}"/>
    <cellStyle name="Comma 2 18" xfId="11" xr:uid="{00000000-0005-0000-0000-00000A000000}"/>
    <cellStyle name="Comma 2 19" xfId="12" xr:uid="{00000000-0005-0000-0000-00000B000000}"/>
    <cellStyle name="Comma 2 2" xfId="13" xr:uid="{00000000-0005-0000-0000-00000C000000}"/>
    <cellStyle name="Comma 2 20" xfId="14" xr:uid="{00000000-0005-0000-0000-00000D000000}"/>
    <cellStyle name="Comma 2 21" xfId="15" xr:uid="{00000000-0005-0000-0000-00000E000000}"/>
    <cellStyle name="Comma 2 22" xfId="16" xr:uid="{00000000-0005-0000-0000-00000F000000}"/>
    <cellStyle name="Comma 2 23" xfId="17" xr:uid="{00000000-0005-0000-0000-000010000000}"/>
    <cellStyle name="Comma 2 24" xfId="18" xr:uid="{00000000-0005-0000-0000-000011000000}"/>
    <cellStyle name="Comma 2 25" xfId="19" xr:uid="{00000000-0005-0000-0000-000012000000}"/>
    <cellStyle name="Comma 2 26" xfId="20" xr:uid="{00000000-0005-0000-0000-000013000000}"/>
    <cellStyle name="Comma 2 27" xfId="21" xr:uid="{00000000-0005-0000-0000-000014000000}"/>
    <cellStyle name="Comma 2 28" xfId="22" xr:uid="{00000000-0005-0000-0000-000015000000}"/>
    <cellStyle name="Comma 2 29" xfId="23" xr:uid="{00000000-0005-0000-0000-000016000000}"/>
    <cellStyle name="Comma 2 3" xfId="24" xr:uid="{00000000-0005-0000-0000-000017000000}"/>
    <cellStyle name="Comma 2 30" xfId="25" xr:uid="{00000000-0005-0000-0000-000018000000}"/>
    <cellStyle name="Comma 2 31" xfId="26" xr:uid="{00000000-0005-0000-0000-000019000000}"/>
    <cellStyle name="Comma 2 32" xfId="27" xr:uid="{00000000-0005-0000-0000-00001A000000}"/>
    <cellStyle name="Comma 2 33" xfId="28" xr:uid="{00000000-0005-0000-0000-00001B000000}"/>
    <cellStyle name="Comma 2 34" xfId="29" xr:uid="{00000000-0005-0000-0000-00001C000000}"/>
    <cellStyle name="Comma 2 35" xfId="30" xr:uid="{00000000-0005-0000-0000-00001D000000}"/>
    <cellStyle name="Comma 2 36" xfId="31" xr:uid="{00000000-0005-0000-0000-00001E000000}"/>
    <cellStyle name="Comma 2 37" xfId="32" xr:uid="{00000000-0005-0000-0000-00001F000000}"/>
    <cellStyle name="Comma 2 38" xfId="33" xr:uid="{00000000-0005-0000-0000-000020000000}"/>
    <cellStyle name="Comma 2 39" xfId="34" xr:uid="{00000000-0005-0000-0000-000021000000}"/>
    <cellStyle name="Comma 2 4" xfId="35" xr:uid="{00000000-0005-0000-0000-000022000000}"/>
    <cellStyle name="Comma 2 5" xfId="36" xr:uid="{00000000-0005-0000-0000-000023000000}"/>
    <cellStyle name="Comma 2 6" xfId="37" xr:uid="{00000000-0005-0000-0000-000024000000}"/>
    <cellStyle name="Comma 2 7" xfId="38" xr:uid="{00000000-0005-0000-0000-000025000000}"/>
    <cellStyle name="Comma 2 8" xfId="39" xr:uid="{00000000-0005-0000-0000-000026000000}"/>
    <cellStyle name="Comma 2 9" xfId="40" xr:uid="{00000000-0005-0000-0000-000027000000}"/>
    <cellStyle name="Comma 3" xfId="270" xr:uid="{00000000-0005-0000-0000-000028000000}"/>
    <cellStyle name="Comma 7" xfId="271" xr:uid="{00000000-0005-0000-0000-000029000000}"/>
    <cellStyle name="Currency" xfId="41" builtinId="4"/>
    <cellStyle name="Hyperlink" xfId="42" builtinId="8"/>
    <cellStyle name="Normal" xfId="0" builtinId="0"/>
    <cellStyle name="Normal 10" xfId="43" xr:uid="{00000000-0005-0000-0000-00002D000000}"/>
    <cellStyle name="Normal 10 2" xfId="44" xr:uid="{00000000-0005-0000-0000-00002E000000}"/>
    <cellStyle name="Normal 10 2 2" xfId="273" xr:uid="{00000000-0005-0000-0000-00002F000000}"/>
    <cellStyle name="Normal 10 2 3" xfId="178" xr:uid="{00000000-0005-0000-0000-000030000000}"/>
    <cellStyle name="Normal 10 3" xfId="272" xr:uid="{00000000-0005-0000-0000-000031000000}"/>
    <cellStyle name="Normal 10 4" xfId="177" xr:uid="{00000000-0005-0000-0000-000032000000}"/>
    <cellStyle name="Normal 12" xfId="45" xr:uid="{00000000-0005-0000-0000-000033000000}"/>
    <cellStyle name="Normal 12 2" xfId="46" xr:uid="{00000000-0005-0000-0000-000034000000}"/>
    <cellStyle name="Normal 12 2 2" xfId="275" xr:uid="{00000000-0005-0000-0000-000035000000}"/>
    <cellStyle name="Normal 12 2 3" xfId="180" xr:uid="{00000000-0005-0000-0000-000036000000}"/>
    <cellStyle name="Normal 12 3" xfId="274" xr:uid="{00000000-0005-0000-0000-000037000000}"/>
    <cellStyle name="Normal 12 4" xfId="179" xr:uid="{00000000-0005-0000-0000-000038000000}"/>
    <cellStyle name="Normal 13" xfId="47" xr:uid="{00000000-0005-0000-0000-000039000000}"/>
    <cellStyle name="Normal 13 2" xfId="48" xr:uid="{00000000-0005-0000-0000-00003A000000}"/>
    <cellStyle name="Normal 13 2 2" xfId="277" xr:uid="{00000000-0005-0000-0000-00003B000000}"/>
    <cellStyle name="Normal 13 2 3" xfId="182" xr:uid="{00000000-0005-0000-0000-00003C000000}"/>
    <cellStyle name="Normal 13 3" xfId="276" xr:uid="{00000000-0005-0000-0000-00003D000000}"/>
    <cellStyle name="Normal 13 4" xfId="181" xr:uid="{00000000-0005-0000-0000-00003E000000}"/>
    <cellStyle name="Normal 14" xfId="49" xr:uid="{00000000-0005-0000-0000-00003F000000}"/>
    <cellStyle name="Normal 14 2" xfId="50" xr:uid="{00000000-0005-0000-0000-000040000000}"/>
    <cellStyle name="Normal 14 2 2" xfId="279" xr:uid="{00000000-0005-0000-0000-000041000000}"/>
    <cellStyle name="Normal 14 2 3" xfId="184" xr:uid="{00000000-0005-0000-0000-000042000000}"/>
    <cellStyle name="Normal 14 3" xfId="278" xr:uid="{00000000-0005-0000-0000-000043000000}"/>
    <cellStyle name="Normal 14 4" xfId="183" xr:uid="{00000000-0005-0000-0000-000044000000}"/>
    <cellStyle name="Normal 15" xfId="51" xr:uid="{00000000-0005-0000-0000-000045000000}"/>
    <cellStyle name="Normal 15 2" xfId="52" xr:uid="{00000000-0005-0000-0000-000046000000}"/>
    <cellStyle name="Normal 15 2 2" xfId="281" xr:uid="{00000000-0005-0000-0000-000047000000}"/>
    <cellStyle name="Normal 15 2 3" xfId="186" xr:uid="{00000000-0005-0000-0000-000048000000}"/>
    <cellStyle name="Normal 15 3" xfId="280" xr:uid="{00000000-0005-0000-0000-000049000000}"/>
    <cellStyle name="Normal 15 4" xfId="185" xr:uid="{00000000-0005-0000-0000-00004A000000}"/>
    <cellStyle name="Normal 16" xfId="53" xr:uid="{00000000-0005-0000-0000-00004B000000}"/>
    <cellStyle name="Normal 16 2" xfId="54" xr:uid="{00000000-0005-0000-0000-00004C000000}"/>
    <cellStyle name="Normal 16 2 2" xfId="283" xr:uid="{00000000-0005-0000-0000-00004D000000}"/>
    <cellStyle name="Normal 16 2 3" xfId="188" xr:uid="{00000000-0005-0000-0000-00004E000000}"/>
    <cellStyle name="Normal 16 3" xfId="282" xr:uid="{00000000-0005-0000-0000-00004F000000}"/>
    <cellStyle name="Normal 16 4" xfId="187" xr:uid="{00000000-0005-0000-0000-000050000000}"/>
    <cellStyle name="Normal 18" xfId="55" xr:uid="{00000000-0005-0000-0000-000051000000}"/>
    <cellStyle name="Normal 18 2" xfId="56" xr:uid="{00000000-0005-0000-0000-000052000000}"/>
    <cellStyle name="Normal 18 2 2" xfId="285" xr:uid="{00000000-0005-0000-0000-000053000000}"/>
    <cellStyle name="Normal 18 2 3" xfId="190" xr:uid="{00000000-0005-0000-0000-000054000000}"/>
    <cellStyle name="Normal 18 3" xfId="284" xr:uid="{00000000-0005-0000-0000-000055000000}"/>
    <cellStyle name="Normal 18 4" xfId="189" xr:uid="{00000000-0005-0000-0000-000056000000}"/>
    <cellStyle name="Normal 19" xfId="57" xr:uid="{00000000-0005-0000-0000-000057000000}"/>
    <cellStyle name="Normal 19 2" xfId="58" xr:uid="{00000000-0005-0000-0000-000058000000}"/>
    <cellStyle name="Normal 19 2 2" xfId="287" xr:uid="{00000000-0005-0000-0000-000059000000}"/>
    <cellStyle name="Normal 19 2 3" xfId="192" xr:uid="{00000000-0005-0000-0000-00005A000000}"/>
    <cellStyle name="Normal 19 3" xfId="286" xr:uid="{00000000-0005-0000-0000-00005B000000}"/>
    <cellStyle name="Normal 19 4" xfId="191" xr:uid="{00000000-0005-0000-0000-00005C000000}"/>
    <cellStyle name="Normal 2" xfId="59" xr:uid="{00000000-0005-0000-0000-00005D000000}"/>
    <cellStyle name="Normal 2 10" xfId="60" xr:uid="{00000000-0005-0000-0000-00005E000000}"/>
    <cellStyle name="Normal 2 10 2" xfId="289" xr:uid="{00000000-0005-0000-0000-00005F000000}"/>
    <cellStyle name="Normal 2 10 3" xfId="194" xr:uid="{00000000-0005-0000-0000-000060000000}"/>
    <cellStyle name="Normal 2 11" xfId="61" xr:uid="{00000000-0005-0000-0000-000061000000}"/>
    <cellStyle name="Normal 2 11 2" xfId="290" xr:uid="{00000000-0005-0000-0000-000062000000}"/>
    <cellStyle name="Normal 2 11 3" xfId="195" xr:uid="{00000000-0005-0000-0000-000063000000}"/>
    <cellStyle name="Normal 2 12" xfId="62" xr:uid="{00000000-0005-0000-0000-000064000000}"/>
    <cellStyle name="Normal 2 12 2" xfId="291" xr:uid="{00000000-0005-0000-0000-000065000000}"/>
    <cellStyle name="Normal 2 12 3" xfId="196" xr:uid="{00000000-0005-0000-0000-000066000000}"/>
    <cellStyle name="Normal 2 13" xfId="63" xr:uid="{00000000-0005-0000-0000-000067000000}"/>
    <cellStyle name="Normal 2 13 2" xfId="292" xr:uid="{00000000-0005-0000-0000-000068000000}"/>
    <cellStyle name="Normal 2 13 3" xfId="197" xr:uid="{00000000-0005-0000-0000-000069000000}"/>
    <cellStyle name="Normal 2 14" xfId="64" xr:uid="{00000000-0005-0000-0000-00006A000000}"/>
    <cellStyle name="Normal 2 14 2" xfId="293" xr:uid="{00000000-0005-0000-0000-00006B000000}"/>
    <cellStyle name="Normal 2 14 3" xfId="198" xr:uid="{00000000-0005-0000-0000-00006C000000}"/>
    <cellStyle name="Normal 2 15" xfId="65" xr:uid="{00000000-0005-0000-0000-00006D000000}"/>
    <cellStyle name="Normal 2 15 2" xfId="294" xr:uid="{00000000-0005-0000-0000-00006E000000}"/>
    <cellStyle name="Normal 2 15 3" xfId="199" xr:uid="{00000000-0005-0000-0000-00006F000000}"/>
    <cellStyle name="Normal 2 16" xfId="66" xr:uid="{00000000-0005-0000-0000-000070000000}"/>
    <cellStyle name="Normal 2 16 2" xfId="295" xr:uid="{00000000-0005-0000-0000-000071000000}"/>
    <cellStyle name="Normal 2 16 3" xfId="200" xr:uid="{00000000-0005-0000-0000-000072000000}"/>
    <cellStyle name="Normal 2 17" xfId="67" xr:uid="{00000000-0005-0000-0000-000073000000}"/>
    <cellStyle name="Normal 2 17 2" xfId="296" xr:uid="{00000000-0005-0000-0000-000074000000}"/>
    <cellStyle name="Normal 2 17 3" xfId="201" xr:uid="{00000000-0005-0000-0000-000075000000}"/>
    <cellStyle name="Normal 2 18" xfId="68" xr:uid="{00000000-0005-0000-0000-000076000000}"/>
    <cellStyle name="Normal 2 18 2" xfId="297" xr:uid="{00000000-0005-0000-0000-000077000000}"/>
    <cellStyle name="Normal 2 18 3" xfId="202" xr:uid="{00000000-0005-0000-0000-000078000000}"/>
    <cellStyle name="Normal 2 19" xfId="69" xr:uid="{00000000-0005-0000-0000-000079000000}"/>
    <cellStyle name="Normal 2 19 2" xfId="298" xr:uid="{00000000-0005-0000-0000-00007A000000}"/>
    <cellStyle name="Normal 2 19 3" xfId="203" xr:uid="{00000000-0005-0000-0000-00007B000000}"/>
    <cellStyle name="Normal 2 2" xfId="70" xr:uid="{00000000-0005-0000-0000-00007C000000}"/>
    <cellStyle name="Normal 2 2 2" xfId="71" xr:uid="{00000000-0005-0000-0000-00007D000000}"/>
    <cellStyle name="Normal 2 2 2 2" xfId="300" xr:uid="{00000000-0005-0000-0000-00007E000000}"/>
    <cellStyle name="Normal 2 2 2 3" xfId="205" xr:uid="{00000000-0005-0000-0000-00007F000000}"/>
    <cellStyle name="Normal 2 2 3" xfId="299" xr:uid="{00000000-0005-0000-0000-000080000000}"/>
    <cellStyle name="Normal 2 2 4" xfId="204" xr:uid="{00000000-0005-0000-0000-000081000000}"/>
    <cellStyle name="Normal 2 20" xfId="72" xr:uid="{00000000-0005-0000-0000-000082000000}"/>
    <cellStyle name="Normal 2 20 2" xfId="301" xr:uid="{00000000-0005-0000-0000-000083000000}"/>
    <cellStyle name="Normal 2 20 3" xfId="206" xr:uid="{00000000-0005-0000-0000-000084000000}"/>
    <cellStyle name="Normal 2 21" xfId="73" xr:uid="{00000000-0005-0000-0000-000085000000}"/>
    <cellStyle name="Normal 2 21 2" xfId="302" xr:uid="{00000000-0005-0000-0000-000086000000}"/>
    <cellStyle name="Normal 2 21 3" xfId="207" xr:uid="{00000000-0005-0000-0000-000087000000}"/>
    <cellStyle name="Normal 2 22" xfId="74" xr:uid="{00000000-0005-0000-0000-000088000000}"/>
    <cellStyle name="Normal 2 22 2" xfId="303" xr:uid="{00000000-0005-0000-0000-000089000000}"/>
    <cellStyle name="Normal 2 22 3" xfId="208" xr:uid="{00000000-0005-0000-0000-00008A000000}"/>
    <cellStyle name="Normal 2 23" xfId="75" xr:uid="{00000000-0005-0000-0000-00008B000000}"/>
    <cellStyle name="Normal 2 23 2" xfId="304" xr:uid="{00000000-0005-0000-0000-00008C000000}"/>
    <cellStyle name="Normal 2 23 3" xfId="209" xr:uid="{00000000-0005-0000-0000-00008D000000}"/>
    <cellStyle name="Normal 2 24" xfId="76" xr:uid="{00000000-0005-0000-0000-00008E000000}"/>
    <cellStyle name="Normal 2 24 2" xfId="305" xr:uid="{00000000-0005-0000-0000-00008F000000}"/>
    <cellStyle name="Normal 2 24 3" xfId="210" xr:uid="{00000000-0005-0000-0000-000090000000}"/>
    <cellStyle name="Normal 2 25" xfId="77" xr:uid="{00000000-0005-0000-0000-000091000000}"/>
    <cellStyle name="Normal 2 25 2" xfId="306" xr:uid="{00000000-0005-0000-0000-000092000000}"/>
    <cellStyle name="Normal 2 25 3" xfId="211" xr:uid="{00000000-0005-0000-0000-000093000000}"/>
    <cellStyle name="Normal 2 26" xfId="78" xr:uid="{00000000-0005-0000-0000-000094000000}"/>
    <cellStyle name="Normal 2 26 2" xfId="307" xr:uid="{00000000-0005-0000-0000-000095000000}"/>
    <cellStyle name="Normal 2 26 3" xfId="212" xr:uid="{00000000-0005-0000-0000-000096000000}"/>
    <cellStyle name="Normal 2 27" xfId="79" xr:uid="{00000000-0005-0000-0000-000097000000}"/>
    <cellStyle name="Normal 2 27 2" xfId="308" xr:uid="{00000000-0005-0000-0000-000098000000}"/>
    <cellStyle name="Normal 2 27 3" xfId="213" xr:uid="{00000000-0005-0000-0000-000099000000}"/>
    <cellStyle name="Normal 2 28" xfId="80" xr:uid="{00000000-0005-0000-0000-00009A000000}"/>
    <cellStyle name="Normal 2 28 2" xfId="309" xr:uid="{00000000-0005-0000-0000-00009B000000}"/>
    <cellStyle name="Normal 2 28 3" xfId="214" xr:uid="{00000000-0005-0000-0000-00009C000000}"/>
    <cellStyle name="Normal 2 29" xfId="81" xr:uid="{00000000-0005-0000-0000-00009D000000}"/>
    <cellStyle name="Normal 2 29 2" xfId="310" xr:uid="{00000000-0005-0000-0000-00009E000000}"/>
    <cellStyle name="Normal 2 29 3" xfId="215" xr:uid="{00000000-0005-0000-0000-00009F000000}"/>
    <cellStyle name="Normal 2 3" xfId="82" xr:uid="{00000000-0005-0000-0000-0000A0000000}"/>
    <cellStyle name="Normal 2 3 2" xfId="311" xr:uid="{00000000-0005-0000-0000-0000A1000000}"/>
    <cellStyle name="Normal 2 3 3" xfId="216" xr:uid="{00000000-0005-0000-0000-0000A2000000}"/>
    <cellStyle name="Normal 2 30" xfId="83" xr:uid="{00000000-0005-0000-0000-0000A3000000}"/>
    <cellStyle name="Normal 2 30 2" xfId="312" xr:uid="{00000000-0005-0000-0000-0000A4000000}"/>
    <cellStyle name="Normal 2 30 3" xfId="217" xr:uid="{00000000-0005-0000-0000-0000A5000000}"/>
    <cellStyle name="Normal 2 31" xfId="84" xr:uid="{00000000-0005-0000-0000-0000A6000000}"/>
    <cellStyle name="Normal 2 31 2" xfId="313" xr:uid="{00000000-0005-0000-0000-0000A7000000}"/>
    <cellStyle name="Normal 2 31 3" xfId="218" xr:uid="{00000000-0005-0000-0000-0000A8000000}"/>
    <cellStyle name="Normal 2 32" xfId="85" xr:uid="{00000000-0005-0000-0000-0000A9000000}"/>
    <cellStyle name="Normal 2 32 2" xfId="314" xr:uid="{00000000-0005-0000-0000-0000AA000000}"/>
    <cellStyle name="Normal 2 32 3" xfId="219" xr:uid="{00000000-0005-0000-0000-0000AB000000}"/>
    <cellStyle name="Normal 2 33" xfId="86" xr:uid="{00000000-0005-0000-0000-0000AC000000}"/>
    <cellStyle name="Normal 2 33 2" xfId="315" xr:uid="{00000000-0005-0000-0000-0000AD000000}"/>
    <cellStyle name="Normal 2 33 3" xfId="220" xr:uid="{00000000-0005-0000-0000-0000AE000000}"/>
    <cellStyle name="Normal 2 34" xfId="87" xr:uid="{00000000-0005-0000-0000-0000AF000000}"/>
    <cellStyle name="Normal 2 34 2" xfId="316" xr:uid="{00000000-0005-0000-0000-0000B0000000}"/>
    <cellStyle name="Normal 2 34 3" xfId="221" xr:uid="{00000000-0005-0000-0000-0000B1000000}"/>
    <cellStyle name="Normal 2 35" xfId="88" xr:uid="{00000000-0005-0000-0000-0000B2000000}"/>
    <cellStyle name="Normal 2 35 2" xfId="317" xr:uid="{00000000-0005-0000-0000-0000B3000000}"/>
    <cellStyle name="Normal 2 35 3" xfId="222" xr:uid="{00000000-0005-0000-0000-0000B4000000}"/>
    <cellStyle name="Normal 2 36" xfId="89" xr:uid="{00000000-0005-0000-0000-0000B5000000}"/>
    <cellStyle name="Normal 2 36 2" xfId="318" xr:uid="{00000000-0005-0000-0000-0000B6000000}"/>
    <cellStyle name="Normal 2 36 3" xfId="223" xr:uid="{00000000-0005-0000-0000-0000B7000000}"/>
    <cellStyle name="Normal 2 37" xfId="90" xr:uid="{00000000-0005-0000-0000-0000B8000000}"/>
    <cellStyle name="Normal 2 37 2" xfId="319" xr:uid="{00000000-0005-0000-0000-0000B9000000}"/>
    <cellStyle name="Normal 2 37 3" xfId="224" xr:uid="{00000000-0005-0000-0000-0000BA000000}"/>
    <cellStyle name="Normal 2 38" xfId="91" xr:uid="{00000000-0005-0000-0000-0000BB000000}"/>
    <cellStyle name="Normal 2 38 2" xfId="320" xr:uid="{00000000-0005-0000-0000-0000BC000000}"/>
    <cellStyle name="Normal 2 38 3" xfId="225" xr:uid="{00000000-0005-0000-0000-0000BD000000}"/>
    <cellStyle name="Normal 2 39" xfId="92" xr:uid="{00000000-0005-0000-0000-0000BE000000}"/>
    <cellStyle name="Normal 2 39 2" xfId="321" xr:uid="{00000000-0005-0000-0000-0000BF000000}"/>
    <cellStyle name="Normal 2 39 3" xfId="226" xr:uid="{00000000-0005-0000-0000-0000C0000000}"/>
    <cellStyle name="Normal 2 4" xfId="93" xr:uid="{00000000-0005-0000-0000-0000C1000000}"/>
    <cellStyle name="Normal 2 4 2" xfId="322" xr:uid="{00000000-0005-0000-0000-0000C2000000}"/>
    <cellStyle name="Normal 2 4 3" xfId="227" xr:uid="{00000000-0005-0000-0000-0000C3000000}"/>
    <cellStyle name="Normal 2 40" xfId="288" xr:uid="{00000000-0005-0000-0000-0000C4000000}"/>
    <cellStyle name="Normal 2 41" xfId="193" xr:uid="{00000000-0005-0000-0000-0000C5000000}"/>
    <cellStyle name="Normal 2 5" xfId="94" xr:uid="{00000000-0005-0000-0000-0000C6000000}"/>
    <cellStyle name="Normal 2 5 2" xfId="323" xr:uid="{00000000-0005-0000-0000-0000C7000000}"/>
    <cellStyle name="Normal 2 5 3" xfId="228" xr:uid="{00000000-0005-0000-0000-0000C8000000}"/>
    <cellStyle name="Normal 2 6" xfId="95" xr:uid="{00000000-0005-0000-0000-0000C9000000}"/>
    <cellStyle name="Normal 2 6 2" xfId="324" xr:uid="{00000000-0005-0000-0000-0000CA000000}"/>
    <cellStyle name="Normal 2 6 3" xfId="229" xr:uid="{00000000-0005-0000-0000-0000CB000000}"/>
    <cellStyle name="Normal 2 7" xfId="96" xr:uid="{00000000-0005-0000-0000-0000CC000000}"/>
    <cellStyle name="Normal 2 7 2" xfId="325" xr:uid="{00000000-0005-0000-0000-0000CD000000}"/>
    <cellStyle name="Normal 2 7 3" xfId="230" xr:uid="{00000000-0005-0000-0000-0000CE000000}"/>
    <cellStyle name="Normal 2 8" xfId="97" xr:uid="{00000000-0005-0000-0000-0000CF000000}"/>
    <cellStyle name="Normal 2 8 2" xfId="326" xr:uid="{00000000-0005-0000-0000-0000D0000000}"/>
    <cellStyle name="Normal 2 8 3" xfId="231" xr:uid="{00000000-0005-0000-0000-0000D1000000}"/>
    <cellStyle name="Normal 2 9" xfId="98" xr:uid="{00000000-0005-0000-0000-0000D2000000}"/>
    <cellStyle name="Normal 2 9 2" xfId="327" xr:uid="{00000000-0005-0000-0000-0000D3000000}"/>
    <cellStyle name="Normal 2 9 3" xfId="232" xr:uid="{00000000-0005-0000-0000-0000D4000000}"/>
    <cellStyle name="Normal 2_ABPResultFormU" xfId="99" xr:uid="{00000000-0005-0000-0000-0000D5000000}"/>
    <cellStyle name="Normal 20" xfId="100" xr:uid="{00000000-0005-0000-0000-0000D6000000}"/>
    <cellStyle name="Normal 20 2" xfId="101" xr:uid="{00000000-0005-0000-0000-0000D7000000}"/>
    <cellStyle name="Normal 20 2 2" xfId="329" xr:uid="{00000000-0005-0000-0000-0000D8000000}"/>
    <cellStyle name="Normal 20 2 3" xfId="234" xr:uid="{00000000-0005-0000-0000-0000D9000000}"/>
    <cellStyle name="Normal 20 3" xfId="328" xr:uid="{00000000-0005-0000-0000-0000DA000000}"/>
    <cellStyle name="Normal 20 4" xfId="233" xr:uid="{00000000-0005-0000-0000-0000DB000000}"/>
    <cellStyle name="Normal 22" xfId="102" xr:uid="{00000000-0005-0000-0000-0000DC000000}"/>
    <cellStyle name="Normal 22 2" xfId="103" xr:uid="{00000000-0005-0000-0000-0000DD000000}"/>
    <cellStyle name="Normal 22 2 2" xfId="331" xr:uid="{00000000-0005-0000-0000-0000DE000000}"/>
    <cellStyle name="Normal 22 2 3" xfId="236" xr:uid="{00000000-0005-0000-0000-0000DF000000}"/>
    <cellStyle name="Normal 22 3" xfId="330" xr:uid="{00000000-0005-0000-0000-0000E0000000}"/>
    <cellStyle name="Normal 22 4" xfId="235" xr:uid="{00000000-0005-0000-0000-0000E1000000}"/>
    <cellStyle name="Normal 24" xfId="104" xr:uid="{00000000-0005-0000-0000-0000E2000000}"/>
    <cellStyle name="Normal 24 2" xfId="105" xr:uid="{00000000-0005-0000-0000-0000E3000000}"/>
    <cellStyle name="Normal 24 2 2" xfId="333" xr:uid="{00000000-0005-0000-0000-0000E4000000}"/>
    <cellStyle name="Normal 24 2 3" xfId="238" xr:uid="{00000000-0005-0000-0000-0000E5000000}"/>
    <cellStyle name="Normal 24 3" xfId="332" xr:uid="{00000000-0005-0000-0000-0000E6000000}"/>
    <cellStyle name="Normal 24 4" xfId="237" xr:uid="{00000000-0005-0000-0000-0000E7000000}"/>
    <cellStyle name="Normal 25 2" xfId="106" xr:uid="{00000000-0005-0000-0000-0000E8000000}"/>
    <cellStyle name="Normal 25 2 2" xfId="334" xr:uid="{00000000-0005-0000-0000-0000E9000000}"/>
    <cellStyle name="Normal 25 2 3" xfId="239" xr:uid="{00000000-0005-0000-0000-0000EA000000}"/>
    <cellStyle name="Normal 26" xfId="107" xr:uid="{00000000-0005-0000-0000-0000EB000000}"/>
    <cellStyle name="Normal 26 2" xfId="108" xr:uid="{00000000-0005-0000-0000-0000EC000000}"/>
    <cellStyle name="Normal 26 2 2" xfId="336" xr:uid="{00000000-0005-0000-0000-0000ED000000}"/>
    <cellStyle name="Normal 26 2 3" xfId="241" xr:uid="{00000000-0005-0000-0000-0000EE000000}"/>
    <cellStyle name="Normal 26 3" xfId="335" xr:uid="{00000000-0005-0000-0000-0000EF000000}"/>
    <cellStyle name="Normal 26 4" xfId="240" xr:uid="{00000000-0005-0000-0000-0000F0000000}"/>
    <cellStyle name="Normal 27" xfId="109" xr:uid="{00000000-0005-0000-0000-0000F1000000}"/>
    <cellStyle name="Normal 27 2" xfId="110" xr:uid="{00000000-0005-0000-0000-0000F2000000}"/>
    <cellStyle name="Normal 27 2 2" xfId="338" xr:uid="{00000000-0005-0000-0000-0000F3000000}"/>
    <cellStyle name="Normal 27 2 3" xfId="243" xr:uid="{00000000-0005-0000-0000-0000F4000000}"/>
    <cellStyle name="Normal 27 3" xfId="337" xr:uid="{00000000-0005-0000-0000-0000F5000000}"/>
    <cellStyle name="Normal 27 4" xfId="242" xr:uid="{00000000-0005-0000-0000-0000F6000000}"/>
    <cellStyle name="Normal 28" xfId="111" xr:uid="{00000000-0005-0000-0000-0000F7000000}"/>
    <cellStyle name="Normal 28 2" xfId="112" xr:uid="{00000000-0005-0000-0000-0000F8000000}"/>
    <cellStyle name="Normal 28 2 2" xfId="340" xr:uid="{00000000-0005-0000-0000-0000F9000000}"/>
    <cellStyle name="Normal 28 2 3" xfId="245" xr:uid="{00000000-0005-0000-0000-0000FA000000}"/>
    <cellStyle name="Normal 28 3" xfId="339" xr:uid="{00000000-0005-0000-0000-0000FB000000}"/>
    <cellStyle name="Normal 28 4" xfId="244" xr:uid="{00000000-0005-0000-0000-0000FC000000}"/>
    <cellStyle name="Normal 3" xfId="113" xr:uid="{00000000-0005-0000-0000-0000FD000000}"/>
    <cellStyle name="Normal 3 2" xfId="114" xr:uid="{00000000-0005-0000-0000-0000FE000000}"/>
    <cellStyle name="Normal 3 2 2" xfId="342" xr:uid="{00000000-0005-0000-0000-0000FF000000}"/>
    <cellStyle name="Normal 3 2 3" xfId="247" xr:uid="{00000000-0005-0000-0000-000000010000}"/>
    <cellStyle name="Normal 3 3" xfId="341" xr:uid="{00000000-0005-0000-0000-000001010000}"/>
    <cellStyle name="Normal 3 4" xfId="246" xr:uid="{00000000-0005-0000-0000-000002010000}"/>
    <cellStyle name="Normal 31" xfId="115" xr:uid="{00000000-0005-0000-0000-000003010000}"/>
    <cellStyle name="Normal 31 2" xfId="116" xr:uid="{00000000-0005-0000-0000-000004010000}"/>
    <cellStyle name="Normal 31 2 2" xfId="344" xr:uid="{00000000-0005-0000-0000-000005010000}"/>
    <cellStyle name="Normal 31 2 3" xfId="249" xr:uid="{00000000-0005-0000-0000-000006010000}"/>
    <cellStyle name="Normal 31 3" xfId="343" xr:uid="{00000000-0005-0000-0000-000007010000}"/>
    <cellStyle name="Normal 31 4" xfId="248" xr:uid="{00000000-0005-0000-0000-000008010000}"/>
    <cellStyle name="Normal 32" xfId="117" xr:uid="{00000000-0005-0000-0000-000009010000}"/>
    <cellStyle name="Normal 32 2" xfId="118" xr:uid="{00000000-0005-0000-0000-00000A010000}"/>
    <cellStyle name="Normal 32 2 2" xfId="346" xr:uid="{00000000-0005-0000-0000-00000B010000}"/>
    <cellStyle name="Normal 32 2 3" xfId="251" xr:uid="{00000000-0005-0000-0000-00000C010000}"/>
    <cellStyle name="Normal 32 3" xfId="345" xr:uid="{00000000-0005-0000-0000-00000D010000}"/>
    <cellStyle name="Normal 32 4" xfId="250" xr:uid="{00000000-0005-0000-0000-00000E010000}"/>
    <cellStyle name="Normal 33" xfId="119" xr:uid="{00000000-0005-0000-0000-00000F010000}"/>
    <cellStyle name="Normal 33 2" xfId="120" xr:uid="{00000000-0005-0000-0000-000010010000}"/>
    <cellStyle name="Normal 33 2 2" xfId="348" xr:uid="{00000000-0005-0000-0000-000011010000}"/>
    <cellStyle name="Normal 33 2 3" xfId="253" xr:uid="{00000000-0005-0000-0000-000012010000}"/>
    <cellStyle name="Normal 33 3" xfId="347" xr:uid="{00000000-0005-0000-0000-000013010000}"/>
    <cellStyle name="Normal 33 4" xfId="252" xr:uid="{00000000-0005-0000-0000-000014010000}"/>
    <cellStyle name="Normal 34" xfId="121" xr:uid="{00000000-0005-0000-0000-000015010000}"/>
    <cellStyle name="Normal 34 2" xfId="122" xr:uid="{00000000-0005-0000-0000-000016010000}"/>
    <cellStyle name="Normal 34 2 2" xfId="350" xr:uid="{00000000-0005-0000-0000-000017010000}"/>
    <cellStyle name="Normal 34 2 3" xfId="255" xr:uid="{00000000-0005-0000-0000-000018010000}"/>
    <cellStyle name="Normal 34 3" xfId="349" xr:uid="{00000000-0005-0000-0000-000019010000}"/>
    <cellStyle name="Normal 34 4" xfId="254" xr:uid="{00000000-0005-0000-0000-00001A010000}"/>
    <cellStyle name="Normal 35" xfId="123" xr:uid="{00000000-0005-0000-0000-00001B010000}"/>
    <cellStyle name="Normal 35 2" xfId="124" xr:uid="{00000000-0005-0000-0000-00001C010000}"/>
    <cellStyle name="Normal 35 2 2" xfId="352" xr:uid="{00000000-0005-0000-0000-00001D010000}"/>
    <cellStyle name="Normal 35 2 3" xfId="257" xr:uid="{00000000-0005-0000-0000-00001E010000}"/>
    <cellStyle name="Normal 35 3" xfId="351" xr:uid="{00000000-0005-0000-0000-00001F010000}"/>
    <cellStyle name="Normal 35 4" xfId="256" xr:uid="{00000000-0005-0000-0000-000020010000}"/>
    <cellStyle name="Normal 36" xfId="125" xr:uid="{00000000-0005-0000-0000-000021010000}"/>
    <cellStyle name="Normal 36 2" xfId="126" xr:uid="{00000000-0005-0000-0000-000022010000}"/>
    <cellStyle name="Normal 36 2 2" xfId="354" xr:uid="{00000000-0005-0000-0000-000023010000}"/>
    <cellStyle name="Normal 36 2 3" xfId="259" xr:uid="{00000000-0005-0000-0000-000024010000}"/>
    <cellStyle name="Normal 36 3" xfId="353" xr:uid="{00000000-0005-0000-0000-000025010000}"/>
    <cellStyle name="Normal 36 4" xfId="258" xr:uid="{00000000-0005-0000-0000-000026010000}"/>
    <cellStyle name="Normal 37" xfId="127" xr:uid="{00000000-0005-0000-0000-000027010000}"/>
    <cellStyle name="Normal 37 2" xfId="128" xr:uid="{00000000-0005-0000-0000-000028010000}"/>
    <cellStyle name="Normal 37 2 2" xfId="356" xr:uid="{00000000-0005-0000-0000-000029010000}"/>
    <cellStyle name="Normal 37 2 3" xfId="261" xr:uid="{00000000-0005-0000-0000-00002A010000}"/>
    <cellStyle name="Normal 37 3" xfId="355" xr:uid="{00000000-0005-0000-0000-00002B010000}"/>
    <cellStyle name="Normal 37 4" xfId="260" xr:uid="{00000000-0005-0000-0000-00002C010000}"/>
    <cellStyle name="Normal 39" xfId="129" xr:uid="{00000000-0005-0000-0000-00002D010000}"/>
    <cellStyle name="Normal 39 2" xfId="130" xr:uid="{00000000-0005-0000-0000-00002E010000}"/>
    <cellStyle name="Normal 39 2 2" xfId="358" xr:uid="{00000000-0005-0000-0000-00002F010000}"/>
    <cellStyle name="Normal 39 2 3" xfId="263" xr:uid="{00000000-0005-0000-0000-000030010000}"/>
    <cellStyle name="Normal 39 3" xfId="357" xr:uid="{00000000-0005-0000-0000-000031010000}"/>
    <cellStyle name="Normal 39 4" xfId="262" xr:uid="{00000000-0005-0000-0000-000032010000}"/>
    <cellStyle name="Normal 5" xfId="131" xr:uid="{00000000-0005-0000-0000-000033010000}"/>
    <cellStyle name="Normal 5 2" xfId="132" xr:uid="{00000000-0005-0000-0000-000034010000}"/>
    <cellStyle name="Normal 5 2 2" xfId="360" xr:uid="{00000000-0005-0000-0000-000035010000}"/>
    <cellStyle name="Normal 5 2 3" xfId="265" xr:uid="{00000000-0005-0000-0000-000036010000}"/>
    <cellStyle name="Normal 5 3" xfId="359" xr:uid="{00000000-0005-0000-0000-000037010000}"/>
    <cellStyle name="Normal 5 4" xfId="264" xr:uid="{00000000-0005-0000-0000-000038010000}"/>
    <cellStyle name="Normal 6" xfId="133" xr:uid="{00000000-0005-0000-0000-000039010000}"/>
    <cellStyle name="Normal 6 2" xfId="134" xr:uid="{00000000-0005-0000-0000-00003A010000}"/>
    <cellStyle name="Normal 6 2 2" xfId="362" xr:uid="{00000000-0005-0000-0000-00003B010000}"/>
    <cellStyle name="Normal 6 2 3" xfId="267" xr:uid="{00000000-0005-0000-0000-00003C010000}"/>
    <cellStyle name="Normal 6 3" xfId="361" xr:uid="{00000000-0005-0000-0000-00003D010000}"/>
    <cellStyle name="Normal 6 4" xfId="266" xr:uid="{00000000-0005-0000-0000-00003E010000}"/>
    <cellStyle name="Normal 8" xfId="135" xr:uid="{00000000-0005-0000-0000-00003F010000}"/>
    <cellStyle name="Normal 8 2" xfId="136" xr:uid="{00000000-0005-0000-0000-000040010000}"/>
    <cellStyle name="Normal 8 2 2" xfId="364" xr:uid="{00000000-0005-0000-0000-000041010000}"/>
    <cellStyle name="Normal 8 2 3" xfId="269" xr:uid="{00000000-0005-0000-0000-000042010000}"/>
    <cellStyle name="Normal 8 3" xfId="363" xr:uid="{00000000-0005-0000-0000-000043010000}"/>
    <cellStyle name="Normal 8 4" xfId="268" xr:uid="{00000000-0005-0000-0000-000044010000}"/>
    <cellStyle name="Percent" xfId="137" builtinId="5"/>
    <cellStyle name="Percent 2" xfId="138" xr:uid="{00000000-0005-0000-0000-000046010000}"/>
    <cellStyle name="Percent 2 10" xfId="139" xr:uid="{00000000-0005-0000-0000-000047010000}"/>
    <cellStyle name="Percent 2 11" xfId="140" xr:uid="{00000000-0005-0000-0000-000048010000}"/>
    <cellStyle name="Percent 2 12" xfId="141" xr:uid="{00000000-0005-0000-0000-000049010000}"/>
    <cellStyle name="Percent 2 13" xfId="142" xr:uid="{00000000-0005-0000-0000-00004A010000}"/>
    <cellStyle name="Percent 2 14" xfId="143" xr:uid="{00000000-0005-0000-0000-00004B010000}"/>
    <cellStyle name="Percent 2 15" xfId="144" xr:uid="{00000000-0005-0000-0000-00004C010000}"/>
    <cellStyle name="Percent 2 16" xfId="145" xr:uid="{00000000-0005-0000-0000-00004D010000}"/>
    <cellStyle name="Percent 2 17" xfId="146" xr:uid="{00000000-0005-0000-0000-00004E010000}"/>
    <cellStyle name="Percent 2 18" xfId="147" xr:uid="{00000000-0005-0000-0000-00004F010000}"/>
    <cellStyle name="Percent 2 19" xfId="148" xr:uid="{00000000-0005-0000-0000-000050010000}"/>
    <cellStyle name="Percent 2 2" xfId="149" xr:uid="{00000000-0005-0000-0000-000051010000}"/>
    <cellStyle name="Percent 2 20" xfId="150" xr:uid="{00000000-0005-0000-0000-000052010000}"/>
    <cellStyle name="Percent 2 21" xfId="151" xr:uid="{00000000-0005-0000-0000-000053010000}"/>
    <cellStyle name="Percent 2 22" xfId="152" xr:uid="{00000000-0005-0000-0000-000054010000}"/>
    <cellStyle name="Percent 2 23" xfId="153" xr:uid="{00000000-0005-0000-0000-000055010000}"/>
    <cellStyle name="Percent 2 24" xfId="154" xr:uid="{00000000-0005-0000-0000-000056010000}"/>
    <cellStyle name="Percent 2 25" xfId="155" xr:uid="{00000000-0005-0000-0000-000057010000}"/>
    <cellStyle name="Percent 2 26" xfId="156" xr:uid="{00000000-0005-0000-0000-000058010000}"/>
    <cellStyle name="Percent 2 27" xfId="157" xr:uid="{00000000-0005-0000-0000-000059010000}"/>
    <cellStyle name="Percent 2 28" xfId="158" xr:uid="{00000000-0005-0000-0000-00005A010000}"/>
    <cellStyle name="Percent 2 29" xfId="159" xr:uid="{00000000-0005-0000-0000-00005B010000}"/>
    <cellStyle name="Percent 2 3" xfId="160" xr:uid="{00000000-0005-0000-0000-00005C010000}"/>
    <cellStyle name="Percent 2 30" xfId="161" xr:uid="{00000000-0005-0000-0000-00005D010000}"/>
    <cellStyle name="Percent 2 31" xfId="162" xr:uid="{00000000-0005-0000-0000-00005E010000}"/>
    <cellStyle name="Percent 2 32" xfId="163" xr:uid="{00000000-0005-0000-0000-00005F010000}"/>
    <cellStyle name="Percent 2 33" xfId="164" xr:uid="{00000000-0005-0000-0000-000060010000}"/>
    <cellStyle name="Percent 2 34" xfId="165" xr:uid="{00000000-0005-0000-0000-000061010000}"/>
    <cellStyle name="Percent 2 35" xfId="166" xr:uid="{00000000-0005-0000-0000-000062010000}"/>
    <cellStyle name="Percent 2 36" xfId="167" xr:uid="{00000000-0005-0000-0000-000063010000}"/>
    <cellStyle name="Percent 2 37" xfId="168" xr:uid="{00000000-0005-0000-0000-000064010000}"/>
    <cellStyle name="Percent 2 38" xfId="169" xr:uid="{00000000-0005-0000-0000-000065010000}"/>
    <cellStyle name="Percent 2 39" xfId="170" xr:uid="{00000000-0005-0000-0000-000066010000}"/>
    <cellStyle name="Percent 2 4" xfId="171" xr:uid="{00000000-0005-0000-0000-000067010000}"/>
    <cellStyle name="Percent 2 5" xfId="172" xr:uid="{00000000-0005-0000-0000-000068010000}"/>
    <cellStyle name="Percent 2 6" xfId="173" xr:uid="{00000000-0005-0000-0000-000069010000}"/>
    <cellStyle name="Percent 2 7" xfId="174" xr:uid="{00000000-0005-0000-0000-00006A010000}"/>
    <cellStyle name="Percent 2 8" xfId="175" xr:uid="{00000000-0005-0000-0000-00006B010000}"/>
    <cellStyle name="Percent 2 9" xfId="176" xr:uid="{00000000-0005-0000-0000-00006C010000}"/>
    <cellStyle name="Percent 3" xfId="365" xr:uid="{00000000-0005-0000-0000-00006D010000}"/>
    <cellStyle name="Percent 7" xfId="366" xr:uid="{00000000-0005-0000-0000-00006E010000}"/>
  </cellStyles>
  <dxfs count="36">
    <dxf>
      <font>
        <b/>
        <i/>
        <color rgb="FF002060"/>
      </font>
    </dxf>
    <dxf>
      <font>
        <b/>
        <i/>
        <color rgb="FF002060"/>
      </font>
    </dxf>
    <dxf>
      <font>
        <color theme="0" tint="-4.9989318521683403E-2"/>
      </font>
      <border>
        <left/>
        <right/>
        <top/>
        <bottom/>
        <vertical/>
        <horizontal/>
      </border>
    </dxf>
    <dxf>
      <font>
        <color theme="0" tint="-4.9989318521683403E-2"/>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color rgb="FF002060"/>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color theme="0"/>
      </font>
    </dxf>
    <dxf>
      <font>
        <b/>
        <i/>
        <color rgb="FFFF0000"/>
      </font>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color theme="1"/>
      </font>
      <fill>
        <patternFill>
          <bgColor theme="6" tint="0.79998168889431442"/>
        </patternFill>
      </fill>
      <border>
        <left style="thin">
          <color indexed="64"/>
        </left>
        <right style="thin">
          <color indexed="64"/>
        </right>
        <top style="thin">
          <color indexed="64"/>
        </top>
        <bottom style="thin">
          <color indexed="64"/>
        </bottom>
      </border>
    </dxf>
    <dxf>
      <font>
        <b/>
        <i val="0"/>
        <color theme="1"/>
      </font>
    </dxf>
    <dxf>
      <font>
        <b/>
        <i/>
        <strike val="0"/>
        <color theme="0" tint="-0.499984740745262"/>
      </font>
      <fill>
        <patternFill patternType="none">
          <bgColor indexed="65"/>
        </patternFill>
      </fill>
    </dxf>
    <dxf>
      <font>
        <b/>
        <i/>
        <strike val="0"/>
        <color theme="0" tint="-0.499984740745262"/>
      </font>
      <fill>
        <patternFill patternType="none">
          <bgColor indexed="65"/>
        </patternFill>
      </fill>
    </dxf>
    <dxf>
      <font>
        <b/>
        <i/>
        <color rgb="FFFF0000"/>
      </font>
    </dxf>
    <dxf>
      <font>
        <color rgb="FF00206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E1FBFF"/>
      <rgbColor rgb="00EAEAEA"/>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a:t>Retirement/non-Retirement Ratio for whole Fund Balance</a:t>
            </a:r>
          </a:p>
        </c:rich>
      </c:tx>
      <c:layout>
        <c:manualLayout>
          <c:xMode val="edge"/>
          <c:yMode val="edge"/>
          <c:x val="0.24594596422869819"/>
          <c:y val="3.0588221416143209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GL!$DV$3</c:f>
              <c:strCache>
                <c:ptCount val="1"/>
                <c:pt idx="0">
                  <c:v>Pension</c:v>
                </c:pt>
              </c:strCache>
            </c:strRef>
          </c:tx>
          <c:spPr>
            <a:solidFill>
              <a:srgbClr val="C00000"/>
            </a:solidFill>
          </c:spPr>
          <c:cat>
            <c:numRef>
              <c:f>GL!$DU$4:$DU$369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GL!$DV$4:$DV$369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934A-414C-821F-969FEADDD55C}"/>
            </c:ext>
          </c:extLst>
        </c:ser>
        <c:ser>
          <c:idx val="1"/>
          <c:order val="1"/>
          <c:tx>
            <c:strRef>
              <c:f>GL!$DW$3</c:f>
              <c:strCache>
                <c:ptCount val="1"/>
                <c:pt idx="0">
                  <c:v>Accum</c:v>
                </c:pt>
              </c:strCache>
            </c:strRef>
          </c:tx>
          <c:spPr>
            <a:solidFill>
              <a:srgbClr val="002060"/>
            </a:solidFill>
          </c:spPr>
          <c:cat>
            <c:numRef>
              <c:f>GL!$DU$4:$DU$369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GL!$DW$4:$DW$369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934A-414C-821F-969FEADDD55C}"/>
            </c:ext>
          </c:extLst>
        </c:ser>
        <c:dLbls>
          <c:showLegendKey val="0"/>
          <c:showVal val="0"/>
          <c:showCatName val="0"/>
          <c:showSerName val="0"/>
          <c:showPercent val="0"/>
          <c:showBubbleSize val="0"/>
        </c:dLbls>
        <c:axId val="97367552"/>
        <c:axId val="97369472"/>
      </c:areaChart>
      <c:dateAx>
        <c:axId val="97367552"/>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97369472"/>
        <c:crosses val="autoZero"/>
        <c:auto val="0"/>
        <c:lblOffset val="100"/>
        <c:baseTimeUnit val="days"/>
        <c:majorUnit val="3"/>
        <c:majorTimeUnit val="months"/>
        <c:minorUnit val="1"/>
        <c:minorTimeUnit val="months"/>
      </c:dateAx>
      <c:valAx>
        <c:axId val="97369472"/>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97367552"/>
        <c:crosses val="autoZero"/>
        <c:crossBetween val="midCat"/>
        <c:majorUnit val="0.1"/>
        <c:minorUnit val="2.0000000000000009E-3"/>
      </c:valAx>
    </c:plotArea>
    <c:legend>
      <c:legendPos val="r"/>
      <c:layout>
        <c:manualLayout>
          <c:xMode val="edge"/>
          <c:yMode val="edge"/>
          <c:x val="0.88596639337608563"/>
          <c:y val="0.41722893627060659"/>
          <c:w val="8.7391969045106488E-2"/>
          <c:h val="0.14007490636704117"/>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'283'!$C$442</c:f>
          <c:strCache>
            <c:ptCount val="1"/>
            <c:pt idx="0">
              <c:v>2023/24 Account Balances for Whole Fund</c:v>
            </c:pt>
          </c:strCache>
        </c:strRef>
      </c:tx>
      <c:overlay val="0"/>
      <c:txPr>
        <a:bodyPr/>
        <a:lstStyle/>
        <a:p>
          <a:pPr>
            <a:defRPr sz="14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3.6615124343883705E-2"/>
          <c:y val="7.2984207979589141E-2"/>
          <c:w val="0.82620988330044021"/>
          <c:h val="0.85051393715450374"/>
        </c:manualLayout>
      </c:layout>
      <c:areaChart>
        <c:grouping val="stacked"/>
        <c:varyColors val="0"/>
        <c:ser>
          <c:idx val="0"/>
          <c:order val="0"/>
          <c:tx>
            <c:strRef>
              <c:f>GL!$DV$3</c:f>
              <c:strCache>
                <c:ptCount val="1"/>
                <c:pt idx="0">
                  <c:v>Pension</c:v>
                </c:pt>
              </c:strCache>
            </c:strRef>
          </c:tx>
          <c:spPr>
            <a:solidFill>
              <a:srgbClr val="C00000"/>
            </a:solidFill>
          </c:spPr>
          <c:cat>
            <c:numRef>
              <c:f>GL!$DU$4:$DU$369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GL!$DV$4:$DV$369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CC25-440C-B8D3-7F42CBAE7166}"/>
            </c:ext>
          </c:extLst>
        </c:ser>
        <c:ser>
          <c:idx val="1"/>
          <c:order val="1"/>
          <c:tx>
            <c:strRef>
              <c:f>GL!$DW$3</c:f>
              <c:strCache>
                <c:ptCount val="1"/>
                <c:pt idx="0">
                  <c:v>Accum</c:v>
                </c:pt>
              </c:strCache>
            </c:strRef>
          </c:tx>
          <c:spPr>
            <a:solidFill>
              <a:srgbClr val="002060"/>
            </a:solidFill>
          </c:spPr>
          <c:cat>
            <c:numRef>
              <c:f>GL!$DU$4:$DU$369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GL!$DW$4:$DW$369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CC25-440C-B8D3-7F42CBAE7166}"/>
            </c:ext>
          </c:extLst>
        </c:ser>
        <c:dLbls>
          <c:showLegendKey val="0"/>
          <c:showVal val="0"/>
          <c:showCatName val="0"/>
          <c:showSerName val="0"/>
          <c:showPercent val="0"/>
          <c:showBubbleSize val="0"/>
        </c:dLbls>
        <c:axId val="479567232"/>
        <c:axId val="479589504"/>
      </c:areaChart>
      <c:dateAx>
        <c:axId val="479567232"/>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589504"/>
        <c:crosses val="autoZero"/>
        <c:auto val="1"/>
        <c:lblOffset val="100"/>
        <c:baseTimeUnit val="days"/>
        <c:majorUnit val="3"/>
        <c:majorTimeUnit val="months"/>
      </c:dateAx>
      <c:valAx>
        <c:axId val="479589504"/>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567232"/>
        <c:crosses val="autoZero"/>
        <c:crossBetween val="midCat"/>
      </c:valAx>
    </c:plotArea>
    <c:legend>
      <c:legendPos val="r"/>
      <c:layout>
        <c:manualLayout>
          <c:xMode val="edge"/>
          <c:yMode val="edge"/>
          <c:x val="0.91052196906759209"/>
          <c:y val="0.48743016759776536"/>
          <c:w val="8.1612641557060273E-2"/>
          <c:h val="6.1452513966480438E-2"/>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sz="1200" b="1" i="0" u="none" strike="noStrike" baseline="0">
                <a:effectLst/>
              </a:rPr>
              <a:t>Retirement/non-Retirement </a:t>
            </a:r>
            <a:r>
              <a:rPr lang="en-AU"/>
              <a:t>Ratio Member 1</a:t>
            </a:r>
          </a:p>
        </c:rich>
      </c:tx>
      <c:layout>
        <c:manualLayout>
          <c:xMode val="edge"/>
          <c:yMode val="edge"/>
          <c:x val="0.16001401178817831"/>
          <c:y val="4.2708970202254129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GL!$DJ$3</c:f>
              <c:strCache>
                <c:ptCount val="1"/>
                <c:pt idx="0">
                  <c:v>Pension</c:v>
                </c:pt>
              </c:strCache>
            </c:strRef>
          </c:tx>
          <c:spPr>
            <a:solidFill>
              <a:srgbClr val="C00000"/>
            </a:solidFill>
          </c:spPr>
          <c:cat>
            <c:numRef>
              <c:f>GL!$DI$4:$DI$369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GL!$DJ$4:$DJ$369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3654-48DB-BF6C-A1A986ADF516}"/>
            </c:ext>
          </c:extLst>
        </c:ser>
        <c:ser>
          <c:idx val="1"/>
          <c:order val="1"/>
          <c:tx>
            <c:strRef>
              <c:f>GL!$DK$3</c:f>
              <c:strCache>
                <c:ptCount val="1"/>
                <c:pt idx="0">
                  <c:v>Accum</c:v>
                </c:pt>
              </c:strCache>
            </c:strRef>
          </c:tx>
          <c:spPr>
            <a:solidFill>
              <a:srgbClr val="002060"/>
            </a:solidFill>
          </c:spPr>
          <c:cat>
            <c:numRef>
              <c:f>GL!$DI$4:$DI$369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GL!$DK$4:$DK$369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3654-48DB-BF6C-A1A986ADF516}"/>
            </c:ext>
          </c:extLst>
        </c:ser>
        <c:dLbls>
          <c:showLegendKey val="0"/>
          <c:showVal val="0"/>
          <c:showCatName val="0"/>
          <c:showSerName val="0"/>
          <c:showPercent val="0"/>
          <c:showBubbleSize val="0"/>
        </c:dLbls>
        <c:axId val="499147520"/>
        <c:axId val="499149824"/>
      </c:areaChart>
      <c:dateAx>
        <c:axId val="499147520"/>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499149824"/>
        <c:crosses val="autoZero"/>
        <c:auto val="0"/>
        <c:lblOffset val="100"/>
        <c:baseTimeUnit val="days"/>
        <c:majorUnit val="3"/>
        <c:majorTimeUnit val="months"/>
        <c:minorUnit val="1"/>
        <c:minorTimeUnit val="months"/>
      </c:dateAx>
      <c:valAx>
        <c:axId val="499149824"/>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499147520"/>
        <c:crosses val="autoZero"/>
        <c:crossBetween val="midCat"/>
        <c:majorUnit val="0.1"/>
        <c:minorUnit val="2.0000000000000009E-3"/>
      </c:valAx>
    </c:plotArea>
    <c:legend>
      <c:legendPos val="r"/>
      <c:layout>
        <c:manualLayout>
          <c:xMode val="edge"/>
          <c:yMode val="edge"/>
          <c:x val="0.86278682282703045"/>
          <c:y val="0.467647676393392"/>
          <c:w val="0.12474024886154222"/>
          <c:h val="0.12058854407904895"/>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sz="1200" b="1" i="0" u="none" strike="noStrike" baseline="0">
                <a:effectLst/>
              </a:rPr>
              <a:t>Retirement/non-Retirement</a:t>
            </a:r>
            <a:r>
              <a:rPr lang="en-AU"/>
              <a:t> Ratio Member 2</a:t>
            </a:r>
          </a:p>
        </c:rich>
      </c:tx>
      <c:layout>
        <c:manualLayout>
          <c:xMode val="edge"/>
          <c:yMode val="edge"/>
          <c:x val="0.16278590901475806"/>
          <c:y val="4.2709278987185427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GL!$DM$3</c:f>
              <c:strCache>
                <c:ptCount val="1"/>
                <c:pt idx="0">
                  <c:v>Pension</c:v>
                </c:pt>
              </c:strCache>
            </c:strRef>
          </c:tx>
          <c:spPr>
            <a:solidFill>
              <a:srgbClr val="C00000"/>
            </a:solidFill>
          </c:spPr>
          <c:cat>
            <c:numRef>
              <c:f>GL!$DL$4:$DL$369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GL!$DM$4:$DM$369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B0B9-4599-96D3-30A6408A3FE7}"/>
            </c:ext>
          </c:extLst>
        </c:ser>
        <c:ser>
          <c:idx val="1"/>
          <c:order val="1"/>
          <c:tx>
            <c:strRef>
              <c:f>GL!$DN$3</c:f>
              <c:strCache>
                <c:ptCount val="1"/>
                <c:pt idx="0">
                  <c:v>Accum</c:v>
                </c:pt>
              </c:strCache>
            </c:strRef>
          </c:tx>
          <c:spPr>
            <a:solidFill>
              <a:srgbClr val="002060"/>
            </a:solidFill>
          </c:spPr>
          <c:cat>
            <c:numRef>
              <c:f>GL!$DL$4:$DL$369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GL!$DN$4:$DN$369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B0B9-4599-96D3-30A6408A3FE7}"/>
            </c:ext>
          </c:extLst>
        </c:ser>
        <c:dLbls>
          <c:showLegendKey val="0"/>
          <c:showVal val="0"/>
          <c:showCatName val="0"/>
          <c:showSerName val="0"/>
          <c:showPercent val="0"/>
          <c:showBubbleSize val="0"/>
        </c:dLbls>
        <c:axId val="478835840"/>
        <c:axId val="478837376"/>
      </c:areaChart>
      <c:dateAx>
        <c:axId val="478835840"/>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478837376"/>
        <c:crosses val="autoZero"/>
        <c:auto val="0"/>
        <c:lblOffset val="100"/>
        <c:baseTimeUnit val="days"/>
        <c:majorUnit val="3"/>
        <c:majorTimeUnit val="months"/>
        <c:minorUnit val="1"/>
        <c:minorTimeUnit val="months"/>
      </c:dateAx>
      <c:valAx>
        <c:axId val="478837376"/>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478835840"/>
        <c:crosses val="autoZero"/>
        <c:crossBetween val="midCat"/>
        <c:majorUnit val="0.1"/>
        <c:minorUnit val="2.0000000000000009E-3"/>
      </c:valAx>
    </c:plotArea>
    <c:legend>
      <c:legendPos val="r"/>
      <c:layout>
        <c:manualLayout>
          <c:xMode val="edge"/>
          <c:yMode val="edge"/>
          <c:x val="0.86278682282703045"/>
          <c:y val="0.467647676393392"/>
          <c:w val="0.12474024886154222"/>
          <c:h val="0.12058854407904895"/>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sz="1200" b="1" i="0" u="none" strike="noStrike" baseline="0">
                <a:effectLst/>
              </a:rPr>
              <a:t>Retirement/non-Retirement</a:t>
            </a:r>
            <a:r>
              <a:rPr lang="en-AU"/>
              <a:t> Ratio Member 3</a:t>
            </a:r>
          </a:p>
        </c:rich>
      </c:tx>
      <c:layout>
        <c:manualLayout>
          <c:xMode val="edge"/>
          <c:yMode val="edge"/>
          <c:x val="0.16278590901475806"/>
          <c:y val="4.2709278987185427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GL!$DP$3</c:f>
              <c:strCache>
                <c:ptCount val="1"/>
                <c:pt idx="0">
                  <c:v>Pension</c:v>
                </c:pt>
              </c:strCache>
            </c:strRef>
          </c:tx>
          <c:spPr>
            <a:solidFill>
              <a:srgbClr val="C00000"/>
            </a:solidFill>
          </c:spPr>
          <c:cat>
            <c:numRef>
              <c:f>GL!$DO$4:$DO$369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GL!$DP$4:$DP$369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E36F-4477-ADC6-EB95743F51D0}"/>
            </c:ext>
          </c:extLst>
        </c:ser>
        <c:ser>
          <c:idx val="1"/>
          <c:order val="1"/>
          <c:tx>
            <c:strRef>
              <c:f>GL!$DQ$3</c:f>
              <c:strCache>
                <c:ptCount val="1"/>
                <c:pt idx="0">
                  <c:v>Accum</c:v>
                </c:pt>
              </c:strCache>
            </c:strRef>
          </c:tx>
          <c:spPr>
            <a:solidFill>
              <a:srgbClr val="002060"/>
            </a:solidFill>
          </c:spPr>
          <c:cat>
            <c:numRef>
              <c:f>GL!$DO$4:$DO$369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GL!$DQ$4:$DQ$369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E36F-4477-ADC6-EB95743F51D0}"/>
            </c:ext>
          </c:extLst>
        </c:ser>
        <c:dLbls>
          <c:showLegendKey val="0"/>
          <c:showVal val="0"/>
          <c:showCatName val="0"/>
          <c:showSerName val="0"/>
          <c:showPercent val="0"/>
          <c:showBubbleSize val="0"/>
        </c:dLbls>
        <c:axId val="478863744"/>
        <c:axId val="478865280"/>
      </c:areaChart>
      <c:dateAx>
        <c:axId val="478863744"/>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478865280"/>
        <c:crosses val="autoZero"/>
        <c:auto val="0"/>
        <c:lblOffset val="100"/>
        <c:baseTimeUnit val="days"/>
        <c:majorUnit val="3"/>
        <c:majorTimeUnit val="months"/>
        <c:minorUnit val="1"/>
        <c:minorTimeUnit val="months"/>
      </c:dateAx>
      <c:valAx>
        <c:axId val="478865280"/>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478863744"/>
        <c:crosses val="autoZero"/>
        <c:crossBetween val="midCat"/>
        <c:majorUnit val="0.1"/>
        <c:minorUnit val="2.0000000000000009E-3"/>
      </c:valAx>
    </c:plotArea>
    <c:legend>
      <c:legendPos val="r"/>
      <c:layout>
        <c:manualLayout>
          <c:xMode val="edge"/>
          <c:yMode val="edge"/>
          <c:x val="0.86278682282703045"/>
          <c:y val="0.467647676393392"/>
          <c:w val="0.12474024886154222"/>
          <c:h val="0.12058854407904895"/>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AU" sz="1200" b="1" i="0" u="none" strike="noStrike" baseline="0">
                <a:effectLst/>
              </a:rPr>
              <a:t>Retirement/non-Retirement</a:t>
            </a:r>
            <a:r>
              <a:rPr lang="en-AU"/>
              <a:t> Ratio Member 4</a:t>
            </a:r>
          </a:p>
        </c:rich>
      </c:tx>
      <c:layout>
        <c:manualLayout>
          <c:xMode val="edge"/>
          <c:yMode val="edge"/>
          <c:x val="0.16278590901475806"/>
          <c:y val="4.2709278987185427E-2"/>
        </c:manualLayout>
      </c:layout>
      <c:overlay val="0"/>
    </c:title>
    <c:autoTitleDeleted val="0"/>
    <c:plotArea>
      <c:layout>
        <c:manualLayout>
          <c:layoutTarget val="inner"/>
          <c:xMode val="edge"/>
          <c:yMode val="edge"/>
          <c:x val="0.1"/>
          <c:y val="0.1694117647058824"/>
          <c:w val="0.74054054054054064"/>
          <c:h val="0.67058823529411782"/>
        </c:manualLayout>
      </c:layout>
      <c:areaChart>
        <c:grouping val="percentStacked"/>
        <c:varyColors val="0"/>
        <c:ser>
          <c:idx val="0"/>
          <c:order val="0"/>
          <c:tx>
            <c:strRef>
              <c:f>GL!$DS$3</c:f>
              <c:strCache>
                <c:ptCount val="1"/>
                <c:pt idx="0">
                  <c:v>Pension</c:v>
                </c:pt>
              </c:strCache>
            </c:strRef>
          </c:tx>
          <c:spPr>
            <a:solidFill>
              <a:srgbClr val="C00000"/>
            </a:solidFill>
          </c:spPr>
          <c:cat>
            <c:numRef>
              <c:f>GL!$DR$4:$DR$369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GL!$DS$4:$DS$369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C360-41E8-8841-4B7354E10318}"/>
            </c:ext>
          </c:extLst>
        </c:ser>
        <c:ser>
          <c:idx val="1"/>
          <c:order val="1"/>
          <c:tx>
            <c:strRef>
              <c:f>GL!$DT$3</c:f>
              <c:strCache>
                <c:ptCount val="1"/>
                <c:pt idx="0">
                  <c:v>Accum</c:v>
                </c:pt>
              </c:strCache>
            </c:strRef>
          </c:tx>
          <c:spPr>
            <a:solidFill>
              <a:srgbClr val="002060"/>
            </a:solidFill>
          </c:spPr>
          <c:cat>
            <c:numRef>
              <c:f>GL!$DR$4:$DR$369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GL!$DT$4:$DT$369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C360-41E8-8841-4B7354E10318}"/>
            </c:ext>
          </c:extLst>
        </c:ser>
        <c:dLbls>
          <c:showLegendKey val="0"/>
          <c:showVal val="0"/>
          <c:showCatName val="0"/>
          <c:showSerName val="0"/>
          <c:showPercent val="0"/>
          <c:showBubbleSize val="0"/>
        </c:dLbls>
        <c:axId val="479191808"/>
        <c:axId val="479193344"/>
      </c:areaChart>
      <c:dateAx>
        <c:axId val="479191808"/>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Arial"/>
                <a:ea typeface="Arial"/>
                <a:cs typeface="Arial"/>
              </a:defRPr>
            </a:pPr>
            <a:endParaRPr lang="en-US"/>
          </a:p>
        </c:txPr>
        <c:crossAx val="479193344"/>
        <c:crosses val="autoZero"/>
        <c:auto val="0"/>
        <c:lblOffset val="100"/>
        <c:baseTimeUnit val="days"/>
        <c:majorUnit val="3"/>
        <c:majorTimeUnit val="months"/>
        <c:minorUnit val="1"/>
        <c:minorTimeUnit val="months"/>
      </c:dateAx>
      <c:valAx>
        <c:axId val="479193344"/>
        <c:scaling>
          <c:orientation val="minMax"/>
          <c:max val="1"/>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en-US"/>
          </a:p>
        </c:txPr>
        <c:crossAx val="479191808"/>
        <c:crosses val="autoZero"/>
        <c:crossBetween val="midCat"/>
        <c:majorUnit val="0.1"/>
        <c:minorUnit val="2.0000000000000009E-3"/>
      </c:valAx>
    </c:plotArea>
    <c:legend>
      <c:legendPos val="r"/>
      <c:layout>
        <c:manualLayout>
          <c:xMode val="edge"/>
          <c:yMode val="edge"/>
          <c:x val="0.86278682282703045"/>
          <c:y val="0.467647676393392"/>
          <c:w val="0.12474024886154222"/>
          <c:h val="0.12058854407904895"/>
        </c:manualLayout>
      </c:layout>
      <c:overlay val="0"/>
      <c:txPr>
        <a:bodyPr/>
        <a:lstStyle/>
        <a:p>
          <a:pPr>
            <a:defRPr sz="595" b="0" i="0" u="none" strike="noStrike" baseline="0">
              <a:solidFill>
                <a:srgbClr val="000000"/>
              </a:solidFill>
              <a:latin typeface="Arial"/>
              <a:ea typeface="Arial"/>
              <a:cs typeface="Arial"/>
            </a:defRPr>
          </a:pPr>
          <a:endParaRPr lang="en-US"/>
        </a:p>
      </c:txPr>
    </c:legend>
    <c:plotVisOnly val="1"/>
    <c:dispBlanksAs val="zero"/>
    <c:showDLblsOverMax val="0"/>
  </c:chart>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AU"/>
              <a:t>Member 1 Balances</a:t>
            </a:r>
          </a:p>
        </c:rich>
      </c:tx>
      <c:overlay val="0"/>
    </c:title>
    <c:autoTitleDeleted val="0"/>
    <c:plotArea>
      <c:layout/>
      <c:areaChart>
        <c:grouping val="stacked"/>
        <c:varyColors val="0"/>
        <c:ser>
          <c:idx val="0"/>
          <c:order val="0"/>
          <c:tx>
            <c:strRef>
              <c:f>GL!$DJ$3</c:f>
              <c:strCache>
                <c:ptCount val="1"/>
                <c:pt idx="0">
                  <c:v>Pension</c:v>
                </c:pt>
              </c:strCache>
            </c:strRef>
          </c:tx>
          <c:spPr>
            <a:solidFill>
              <a:srgbClr val="C00000"/>
            </a:solidFill>
          </c:spPr>
          <c:cat>
            <c:numRef>
              <c:f>GL!$DI$4:$DI$368</c:f>
              <c:numCache>
                <c:formatCode>m/d/yyyy</c:formatCode>
                <c:ptCount val="365"/>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numCache>
            </c:numRef>
          </c:cat>
          <c:val>
            <c:numRef>
              <c:f>GL!$DJ$4:$DJ$368</c:f>
              <c:numCache>
                <c:formatCode>_-* #,##0_-;\-* #,##0_-;_-* "-"??_-;_-@_-</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0-1186-42EC-9243-D618B3CFA086}"/>
            </c:ext>
          </c:extLst>
        </c:ser>
        <c:ser>
          <c:idx val="1"/>
          <c:order val="1"/>
          <c:tx>
            <c:strRef>
              <c:f>GL!$DK$3</c:f>
              <c:strCache>
                <c:ptCount val="1"/>
                <c:pt idx="0">
                  <c:v>Accum</c:v>
                </c:pt>
              </c:strCache>
            </c:strRef>
          </c:tx>
          <c:spPr>
            <a:solidFill>
              <a:srgbClr val="002060"/>
            </a:solidFill>
          </c:spPr>
          <c:cat>
            <c:numRef>
              <c:f>GL!$DI$4:$DI$368</c:f>
              <c:numCache>
                <c:formatCode>m/d/yyyy</c:formatCode>
                <c:ptCount val="365"/>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numCache>
            </c:numRef>
          </c:cat>
          <c:val>
            <c:numRef>
              <c:f>GL!$DK$4:$DK$368</c:f>
              <c:numCache>
                <c:formatCode>_-* #,##0_-;\-* #,##0_-;_-* "-"??_-;_-@_-</c:formatCode>
                <c:ptCount val="36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numCache>
            </c:numRef>
          </c:val>
          <c:extLst>
            <c:ext xmlns:c16="http://schemas.microsoft.com/office/drawing/2014/chart" uri="{C3380CC4-5D6E-409C-BE32-E72D297353CC}">
              <c16:uniqueId val="{00000001-1186-42EC-9243-D618B3CFA086}"/>
            </c:ext>
          </c:extLst>
        </c:ser>
        <c:dLbls>
          <c:showLegendKey val="0"/>
          <c:showVal val="0"/>
          <c:showCatName val="0"/>
          <c:showSerName val="0"/>
          <c:showPercent val="0"/>
          <c:showBubbleSize val="0"/>
        </c:dLbls>
        <c:axId val="479387648"/>
        <c:axId val="479389184"/>
      </c:areaChart>
      <c:dateAx>
        <c:axId val="479387648"/>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389184"/>
        <c:crosses val="autoZero"/>
        <c:auto val="1"/>
        <c:lblOffset val="100"/>
        <c:baseTimeUnit val="days"/>
        <c:majorUnit val="3"/>
        <c:majorTimeUnit val="months"/>
      </c:dateAx>
      <c:valAx>
        <c:axId val="479389184"/>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387648"/>
        <c:crosses val="autoZero"/>
        <c:crossBetween val="midCat"/>
      </c:valAx>
    </c:plotArea>
    <c:legend>
      <c:legendPos val="r"/>
      <c:layout>
        <c:manualLayout>
          <c:xMode val="edge"/>
          <c:yMode val="edge"/>
          <c:x val="0.87083515163014258"/>
          <c:y val="0.4794123822757449"/>
          <c:w val="0.11666698289219868"/>
          <c:h val="0.12941207349081363"/>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AU"/>
              <a:t>Member 2 Balances</a:t>
            </a:r>
          </a:p>
        </c:rich>
      </c:tx>
      <c:overlay val="0"/>
    </c:title>
    <c:autoTitleDeleted val="0"/>
    <c:plotArea>
      <c:layout/>
      <c:areaChart>
        <c:grouping val="stacked"/>
        <c:varyColors val="0"/>
        <c:ser>
          <c:idx val="0"/>
          <c:order val="0"/>
          <c:tx>
            <c:strRef>
              <c:f>GL!$DM$3</c:f>
              <c:strCache>
                <c:ptCount val="1"/>
                <c:pt idx="0">
                  <c:v>Pension</c:v>
                </c:pt>
              </c:strCache>
            </c:strRef>
          </c:tx>
          <c:spPr>
            <a:solidFill>
              <a:srgbClr val="C00000"/>
            </a:solidFill>
          </c:spPr>
          <c:cat>
            <c:numRef>
              <c:f>GL!$DL$4:$DL$369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GL!$DM$4:$DM$369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DC52-4899-93EE-EC554D6AE239}"/>
            </c:ext>
          </c:extLst>
        </c:ser>
        <c:ser>
          <c:idx val="1"/>
          <c:order val="1"/>
          <c:tx>
            <c:strRef>
              <c:f>GL!$DN$3</c:f>
              <c:strCache>
                <c:ptCount val="1"/>
                <c:pt idx="0">
                  <c:v>Accum</c:v>
                </c:pt>
              </c:strCache>
            </c:strRef>
          </c:tx>
          <c:spPr>
            <a:solidFill>
              <a:srgbClr val="002060"/>
            </a:solidFill>
          </c:spPr>
          <c:cat>
            <c:numRef>
              <c:f>GL!$DL$4:$DL$369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GL!$DN$4:$DN$369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DC52-4899-93EE-EC554D6AE239}"/>
            </c:ext>
          </c:extLst>
        </c:ser>
        <c:dLbls>
          <c:showLegendKey val="0"/>
          <c:showVal val="0"/>
          <c:showCatName val="0"/>
          <c:showSerName val="0"/>
          <c:showPercent val="0"/>
          <c:showBubbleSize val="0"/>
        </c:dLbls>
        <c:axId val="479423488"/>
        <c:axId val="479425280"/>
      </c:areaChart>
      <c:dateAx>
        <c:axId val="479423488"/>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425280"/>
        <c:crosses val="autoZero"/>
        <c:auto val="1"/>
        <c:lblOffset val="100"/>
        <c:baseTimeUnit val="days"/>
        <c:majorUnit val="3"/>
        <c:majorTimeUnit val="months"/>
      </c:dateAx>
      <c:valAx>
        <c:axId val="479425280"/>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423488"/>
        <c:crosses val="autoZero"/>
        <c:crossBetween val="midCat"/>
      </c:valAx>
    </c:plotArea>
    <c:legend>
      <c:legendPos val="r"/>
      <c:layout>
        <c:manualLayout>
          <c:xMode val="edge"/>
          <c:yMode val="edge"/>
          <c:x val="0.87083515163014258"/>
          <c:y val="0.47647120580515667"/>
          <c:w val="0.11666698289219868"/>
          <c:h val="0.12941207349081363"/>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AU"/>
              <a:t>Member 3 Balances</a:t>
            </a:r>
          </a:p>
        </c:rich>
      </c:tx>
      <c:overlay val="0"/>
    </c:title>
    <c:autoTitleDeleted val="0"/>
    <c:plotArea>
      <c:layout/>
      <c:areaChart>
        <c:grouping val="stacked"/>
        <c:varyColors val="0"/>
        <c:ser>
          <c:idx val="0"/>
          <c:order val="0"/>
          <c:tx>
            <c:strRef>
              <c:f>GL!$DP$3</c:f>
              <c:strCache>
                <c:ptCount val="1"/>
                <c:pt idx="0">
                  <c:v>Pension</c:v>
                </c:pt>
              </c:strCache>
            </c:strRef>
          </c:tx>
          <c:spPr>
            <a:solidFill>
              <a:srgbClr val="C00000"/>
            </a:solidFill>
          </c:spPr>
          <c:cat>
            <c:numRef>
              <c:f>GL!$DO$4:$DO$369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GL!$DP$4:$DP$369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3CDA-4C1F-9998-C0D7AF25EC80}"/>
            </c:ext>
          </c:extLst>
        </c:ser>
        <c:ser>
          <c:idx val="1"/>
          <c:order val="1"/>
          <c:tx>
            <c:strRef>
              <c:f>GL!$DQ$3</c:f>
              <c:strCache>
                <c:ptCount val="1"/>
                <c:pt idx="0">
                  <c:v>Accum</c:v>
                </c:pt>
              </c:strCache>
            </c:strRef>
          </c:tx>
          <c:spPr>
            <a:solidFill>
              <a:srgbClr val="002060"/>
            </a:solidFill>
          </c:spPr>
          <c:cat>
            <c:numRef>
              <c:f>GL!$DO$4:$DO$369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GL!$DQ$4:$DQ$369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3CDA-4C1F-9998-C0D7AF25EC80}"/>
            </c:ext>
          </c:extLst>
        </c:ser>
        <c:dLbls>
          <c:showLegendKey val="0"/>
          <c:showVal val="0"/>
          <c:showCatName val="0"/>
          <c:showSerName val="0"/>
          <c:showPercent val="0"/>
          <c:showBubbleSize val="0"/>
        </c:dLbls>
        <c:axId val="479483392"/>
        <c:axId val="479484928"/>
      </c:areaChart>
      <c:dateAx>
        <c:axId val="479483392"/>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484928"/>
        <c:crosses val="autoZero"/>
        <c:auto val="1"/>
        <c:lblOffset val="100"/>
        <c:baseTimeUnit val="days"/>
        <c:majorUnit val="3"/>
        <c:majorTimeUnit val="months"/>
      </c:dateAx>
      <c:valAx>
        <c:axId val="479484928"/>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483392"/>
        <c:crosses val="autoZero"/>
        <c:crossBetween val="midCat"/>
      </c:valAx>
    </c:plotArea>
    <c:legend>
      <c:legendPos val="r"/>
      <c:layout>
        <c:manualLayout>
          <c:xMode val="edge"/>
          <c:yMode val="edge"/>
          <c:x val="0.87083515163014258"/>
          <c:y val="0.47647120580515667"/>
          <c:w val="0.11666698289219868"/>
          <c:h val="0.12941207349081363"/>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rPr lang="en-AU"/>
              <a:t>Member 4 Balances</a:t>
            </a:r>
          </a:p>
        </c:rich>
      </c:tx>
      <c:overlay val="0"/>
    </c:title>
    <c:autoTitleDeleted val="0"/>
    <c:plotArea>
      <c:layout/>
      <c:areaChart>
        <c:grouping val="stacked"/>
        <c:varyColors val="0"/>
        <c:ser>
          <c:idx val="0"/>
          <c:order val="0"/>
          <c:tx>
            <c:strRef>
              <c:f>GL!$DS$3</c:f>
              <c:strCache>
                <c:ptCount val="1"/>
                <c:pt idx="0">
                  <c:v>Pension</c:v>
                </c:pt>
              </c:strCache>
            </c:strRef>
          </c:tx>
          <c:spPr>
            <a:solidFill>
              <a:srgbClr val="C00000"/>
            </a:solidFill>
          </c:spPr>
          <c:cat>
            <c:numRef>
              <c:f>GL!$DR$4:$DR$369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GL!$DS$4:$DS$369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1DE1-4D93-B418-86B9006736F2}"/>
            </c:ext>
          </c:extLst>
        </c:ser>
        <c:ser>
          <c:idx val="1"/>
          <c:order val="1"/>
          <c:tx>
            <c:strRef>
              <c:f>GL!$DT$3</c:f>
              <c:strCache>
                <c:ptCount val="1"/>
                <c:pt idx="0">
                  <c:v>Accum</c:v>
                </c:pt>
              </c:strCache>
            </c:strRef>
          </c:tx>
          <c:spPr>
            <a:solidFill>
              <a:srgbClr val="002060"/>
            </a:solidFill>
          </c:spPr>
          <c:cat>
            <c:numRef>
              <c:f>GL!$DR$4:$DR$369</c:f>
              <c:numCache>
                <c:formatCode>m/d/yyyy</c:formatCode>
                <c:ptCount val="366"/>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pt idx="92">
                  <c:v>45200</c:v>
                </c:pt>
                <c:pt idx="93">
                  <c:v>45201</c:v>
                </c:pt>
                <c:pt idx="94">
                  <c:v>45202</c:v>
                </c:pt>
                <c:pt idx="95">
                  <c:v>45203</c:v>
                </c:pt>
                <c:pt idx="96">
                  <c:v>45204</c:v>
                </c:pt>
                <c:pt idx="97">
                  <c:v>45205</c:v>
                </c:pt>
                <c:pt idx="98">
                  <c:v>45206</c:v>
                </c:pt>
                <c:pt idx="99">
                  <c:v>45207</c:v>
                </c:pt>
                <c:pt idx="100">
                  <c:v>45208</c:v>
                </c:pt>
                <c:pt idx="101">
                  <c:v>45209</c:v>
                </c:pt>
                <c:pt idx="102">
                  <c:v>45210</c:v>
                </c:pt>
                <c:pt idx="103">
                  <c:v>45211</c:v>
                </c:pt>
                <c:pt idx="104">
                  <c:v>45212</c:v>
                </c:pt>
                <c:pt idx="105">
                  <c:v>45213</c:v>
                </c:pt>
                <c:pt idx="106">
                  <c:v>45214</c:v>
                </c:pt>
                <c:pt idx="107">
                  <c:v>45215</c:v>
                </c:pt>
                <c:pt idx="108">
                  <c:v>45216</c:v>
                </c:pt>
                <c:pt idx="109">
                  <c:v>45217</c:v>
                </c:pt>
                <c:pt idx="110">
                  <c:v>45218</c:v>
                </c:pt>
                <c:pt idx="111">
                  <c:v>45219</c:v>
                </c:pt>
                <c:pt idx="112">
                  <c:v>45220</c:v>
                </c:pt>
                <c:pt idx="113">
                  <c:v>45221</c:v>
                </c:pt>
                <c:pt idx="114">
                  <c:v>45222</c:v>
                </c:pt>
                <c:pt idx="115">
                  <c:v>45223</c:v>
                </c:pt>
                <c:pt idx="116">
                  <c:v>45224</c:v>
                </c:pt>
                <c:pt idx="117">
                  <c:v>45225</c:v>
                </c:pt>
                <c:pt idx="118">
                  <c:v>45226</c:v>
                </c:pt>
                <c:pt idx="119">
                  <c:v>45227</c:v>
                </c:pt>
                <c:pt idx="120">
                  <c:v>45228</c:v>
                </c:pt>
                <c:pt idx="121">
                  <c:v>45229</c:v>
                </c:pt>
                <c:pt idx="122">
                  <c:v>45230</c:v>
                </c:pt>
                <c:pt idx="123">
                  <c:v>45231</c:v>
                </c:pt>
                <c:pt idx="124">
                  <c:v>45232</c:v>
                </c:pt>
                <c:pt idx="125">
                  <c:v>45233</c:v>
                </c:pt>
                <c:pt idx="126">
                  <c:v>45234</c:v>
                </c:pt>
                <c:pt idx="127">
                  <c:v>45235</c:v>
                </c:pt>
                <c:pt idx="128">
                  <c:v>45236</c:v>
                </c:pt>
                <c:pt idx="129">
                  <c:v>45237</c:v>
                </c:pt>
                <c:pt idx="130">
                  <c:v>45238</c:v>
                </c:pt>
                <c:pt idx="131">
                  <c:v>45239</c:v>
                </c:pt>
                <c:pt idx="132">
                  <c:v>45240</c:v>
                </c:pt>
                <c:pt idx="133">
                  <c:v>45241</c:v>
                </c:pt>
                <c:pt idx="134">
                  <c:v>45242</c:v>
                </c:pt>
                <c:pt idx="135">
                  <c:v>45243</c:v>
                </c:pt>
                <c:pt idx="136">
                  <c:v>45244</c:v>
                </c:pt>
                <c:pt idx="137">
                  <c:v>45245</c:v>
                </c:pt>
                <c:pt idx="138">
                  <c:v>45246</c:v>
                </c:pt>
                <c:pt idx="139">
                  <c:v>45247</c:v>
                </c:pt>
                <c:pt idx="140">
                  <c:v>45248</c:v>
                </c:pt>
                <c:pt idx="141">
                  <c:v>45249</c:v>
                </c:pt>
                <c:pt idx="142">
                  <c:v>45250</c:v>
                </c:pt>
                <c:pt idx="143">
                  <c:v>45251</c:v>
                </c:pt>
                <c:pt idx="144">
                  <c:v>45252</c:v>
                </c:pt>
                <c:pt idx="145">
                  <c:v>45253</c:v>
                </c:pt>
                <c:pt idx="146">
                  <c:v>45254</c:v>
                </c:pt>
                <c:pt idx="147">
                  <c:v>45255</c:v>
                </c:pt>
                <c:pt idx="148">
                  <c:v>45256</c:v>
                </c:pt>
                <c:pt idx="149">
                  <c:v>45257</c:v>
                </c:pt>
                <c:pt idx="150">
                  <c:v>45258</c:v>
                </c:pt>
                <c:pt idx="151">
                  <c:v>45259</c:v>
                </c:pt>
                <c:pt idx="152">
                  <c:v>45260</c:v>
                </c:pt>
                <c:pt idx="153">
                  <c:v>45261</c:v>
                </c:pt>
                <c:pt idx="154">
                  <c:v>45262</c:v>
                </c:pt>
                <c:pt idx="155">
                  <c:v>45263</c:v>
                </c:pt>
                <c:pt idx="156">
                  <c:v>45264</c:v>
                </c:pt>
                <c:pt idx="157">
                  <c:v>45265</c:v>
                </c:pt>
                <c:pt idx="158">
                  <c:v>45266</c:v>
                </c:pt>
                <c:pt idx="159">
                  <c:v>45267</c:v>
                </c:pt>
                <c:pt idx="160">
                  <c:v>45268</c:v>
                </c:pt>
                <c:pt idx="161">
                  <c:v>45269</c:v>
                </c:pt>
                <c:pt idx="162">
                  <c:v>45270</c:v>
                </c:pt>
                <c:pt idx="163">
                  <c:v>45271</c:v>
                </c:pt>
                <c:pt idx="164">
                  <c:v>45272</c:v>
                </c:pt>
                <c:pt idx="165">
                  <c:v>45273</c:v>
                </c:pt>
                <c:pt idx="166">
                  <c:v>45274</c:v>
                </c:pt>
                <c:pt idx="167">
                  <c:v>45275</c:v>
                </c:pt>
                <c:pt idx="168">
                  <c:v>45276</c:v>
                </c:pt>
                <c:pt idx="169">
                  <c:v>45277</c:v>
                </c:pt>
                <c:pt idx="170">
                  <c:v>45278</c:v>
                </c:pt>
                <c:pt idx="171">
                  <c:v>45279</c:v>
                </c:pt>
                <c:pt idx="172">
                  <c:v>45280</c:v>
                </c:pt>
                <c:pt idx="173">
                  <c:v>45281</c:v>
                </c:pt>
                <c:pt idx="174">
                  <c:v>45282</c:v>
                </c:pt>
                <c:pt idx="175">
                  <c:v>45283</c:v>
                </c:pt>
                <c:pt idx="176">
                  <c:v>45284</c:v>
                </c:pt>
                <c:pt idx="177">
                  <c:v>45285</c:v>
                </c:pt>
                <c:pt idx="178">
                  <c:v>45286</c:v>
                </c:pt>
                <c:pt idx="179">
                  <c:v>45287</c:v>
                </c:pt>
                <c:pt idx="180">
                  <c:v>45288</c:v>
                </c:pt>
                <c:pt idx="181">
                  <c:v>45289</c:v>
                </c:pt>
                <c:pt idx="182">
                  <c:v>45290</c:v>
                </c:pt>
                <c:pt idx="183">
                  <c:v>45291</c:v>
                </c:pt>
                <c:pt idx="184">
                  <c:v>45292</c:v>
                </c:pt>
                <c:pt idx="185">
                  <c:v>45293</c:v>
                </c:pt>
                <c:pt idx="186">
                  <c:v>45294</c:v>
                </c:pt>
                <c:pt idx="187">
                  <c:v>45295</c:v>
                </c:pt>
                <c:pt idx="188">
                  <c:v>45296</c:v>
                </c:pt>
                <c:pt idx="189">
                  <c:v>45297</c:v>
                </c:pt>
                <c:pt idx="190">
                  <c:v>45298</c:v>
                </c:pt>
                <c:pt idx="191">
                  <c:v>45299</c:v>
                </c:pt>
                <c:pt idx="192">
                  <c:v>45300</c:v>
                </c:pt>
                <c:pt idx="193">
                  <c:v>45301</c:v>
                </c:pt>
                <c:pt idx="194">
                  <c:v>45302</c:v>
                </c:pt>
                <c:pt idx="195">
                  <c:v>45303</c:v>
                </c:pt>
                <c:pt idx="196">
                  <c:v>45304</c:v>
                </c:pt>
                <c:pt idx="197">
                  <c:v>45305</c:v>
                </c:pt>
                <c:pt idx="198">
                  <c:v>45306</c:v>
                </c:pt>
                <c:pt idx="199">
                  <c:v>45307</c:v>
                </c:pt>
                <c:pt idx="200">
                  <c:v>45308</c:v>
                </c:pt>
                <c:pt idx="201">
                  <c:v>45309</c:v>
                </c:pt>
                <c:pt idx="202">
                  <c:v>45310</c:v>
                </c:pt>
                <c:pt idx="203">
                  <c:v>45311</c:v>
                </c:pt>
                <c:pt idx="204">
                  <c:v>45312</c:v>
                </c:pt>
                <c:pt idx="205">
                  <c:v>45313</c:v>
                </c:pt>
                <c:pt idx="206">
                  <c:v>45314</c:v>
                </c:pt>
                <c:pt idx="207">
                  <c:v>45315</c:v>
                </c:pt>
                <c:pt idx="208">
                  <c:v>45316</c:v>
                </c:pt>
                <c:pt idx="209">
                  <c:v>45317</c:v>
                </c:pt>
                <c:pt idx="210">
                  <c:v>45318</c:v>
                </c:pt>
                <c:pt idx="211">
                  <c:v>45319</c:v>
                </c:pt>
                <c:pt idx="212">
                  <c:v>45320</c:v>
                </c:pt>
                <c:pt idx="213">
                  <c:v>45321</c:v>
                </c:pt>
                <c:pt idx="214">
                  <c:v>45322</c:v>
                </c:pt>
                <c:pt idx="215">
                  <c:v>45323</c:v>
                </c:pt>
                <c:pt idx="216">
                  <c:v>45324</c:v>
                </c:pt>
                <c:pt idx="217">
                  <c:v>45325</c:v>
                </c:pt>
                <c:pt idx="218">
                  <c:v>45326</c:v>
                </c:pt>
                <c:pt idx="219">
                  <c:v>45327</c:v>
                </c:pt>
                <c:pt idx="220">
                  <c:v>45328</c:v>
                </c:pt>
                <c:pt idx="221">
                  <c:v>45329</c:v>
                </c:pt>
                <c:pt idx="222">
                  <c:v>45330</c:v>
                </c:pt>
                <c:pt idx="223">
                  <c:v>45331</c:v>
                </c:pt>
                <c:pt idx="224">
                  <c:v>45332</c:v>
                </c:pt>
                <c:pt idx="225">
                  <c:v>45333</c:v>
                </c:pt>
                <c:pt idx="226">
                  <c:v>45334</c:v>
                </c:pt>
                <c:pt idx="227">
                  <c:v>45335</c:v>
                </c:pt>
                <c:pt idx="228">
                  <c:v>45336</c:v>
                </c:pt>
                <c:pt idx="229">
                  <c:v>45337</c:v>
                </c:pt>
                <c:pt idx="230">
                  <c:v>45338</c:v>
                </c:pt>
                <c:pt idx="231">
                  <c:v>45339</c:v>
                </c:pt>
                <c:pt idx="232">
                  <c:v>45340</c:v>
                </c:pt>
                <c:pt idx="233">
                  <c:v>45341</c:v>
                </c:pt>
                <c:pt idx="234">
                  <c:v>45342</c:v>
                </c:pt>
                <c:pt idx="235">
                  <c:v>45343</c:v>
                </c:pt>
                <c:pt idx="236">
                  <c:v>45344</c:v>
                </c:pt>
                <c:pt idx="237">
                  <c:v>45345</c:v>
                </c:pt>
                <c:pt idx="238">
                  <c:v>45346</c:v>
                </c:pt>
                <c:pt idx="239">
                  <c:v>45347</c:v>
                </c:pt>
                <c:pt idx="240">
                  <c:v>45348</c:v>
                </c:pt>
                <c:pt idx="241">
                  <c:v>45349</c:v>
                </c:pt>
                <c:pt idx="242">
                  <c:v>45350</c:v>
                </c:pt>
                <c:pt idx="243">
                  <c:v>45351</c:v>
                </c:pt>
                <c:pt idx="244">
                  <c:v>45352</c:v>
                </c:pt>
                <c:pt idx="245">
                  <c:v>45353</c:v>
                </c:pt>
                <c:pt idx="246">
                  <c:v>45354</c:v>
                </c:pt>
                <c:pt idx="247">
                  <c:v>45355</c:v>
                </c:pt>
                <c:pt idx="248">
                  <c:v>45356</c:v>
                </c:pt>
                <c:pt idx="249">
                  <c:v>45357</c:v>
                </c:pt>
                <c:pt idx="250">
                  <c:v>45358</c:v>
                </c:pt>
                <c:pt idx="251">
                  <c:v>45359</c:v>
                </c:pt>
                <c:pt idx="252">
                  <c:v>45360</c:v>
                </c:pt>
                <c:pt idx="253">
                  <c:v>45361</c:v>
                </c:pt>
                <c:pt idx="254">
                  <c:v>45362</c:v>
                </c:pt>
                <c:pt idx="255">
                  <c:v>45363</c:v>
                </c:pt>
                <c:pt idx="256">
                  <c:v>45364</c:v>
                </c:pt>
                <c:pt idx="257">
                  <c:v>45365</c:v>
                </c:pt>
                <c:pt idx="258">
                  <c:v>45366</c:v>
                </c:pt>
                <c:pt idx="259">
                  <c:v>45367</c:v>
                </c:pt>
                <c:pt idx="260">
                  <c:v>45368</c:v>
                </c:pt>
                <c:pt idx="261">
                  <c:v>45369</c:v>
                </c:pt>
                <c:pt idx="262">
                  <c:v>45370</c:v>
                </c:pt>
                <c:pt idx="263">
                  <c:v>45371</c:v>
                </c:pt>
                <c:pt idx="264">
                  <c:v>45372</c:v>
                </c:pt>
                <c:pt idx="265">
                  <c:v>45373</c:v>
                </c:pt>
                <c:pt idx="266">
                  <c:v>45374</c:v>
                </c:pt>
                <c:pt idx="267">
                  <c:v>45375</c:v>
                </c:pt>
                <c:pt idx="268">
                  <c:v>45376</c:v>
                </c:pt>
                <c:pt idx="269">
                  <c:v>45377</c:v>
                </c:pt>
                <c:pt idx="270">
                  <c:v>45378</c:v>
                </c:pt>
                <c:pt idx="271">
                  <c:v>45379</c:v>
                </c:pt>
                <c:pt idx="272">
                  <c:v>45380</c:v>
                </c:pt>
                <c:pt idx="273">
                  <c:v>45381</c:v>
                </c:pt>
                <c:pt idx="274">
                  <c:v>45382</c:v>
                </c:pt>
                <c:pt idx="275">
                  <c:v>45383</c:v>
                </c:pt>
                <c:pt idx="276">
                  <c:v>45384</c:v>
                </c:pt>
                <c:pt idx="277">
                  <c:v>45385</c:v>
                </c:pt>
                <c:pt idx="278">
                  <c:v>45386</c:v>
                </c:pt>
                <c:pt idx="279">
                  <c:v>45387</c:v>
                </c:pt>
                <c:pt idx="280">
                  <c:v>45388</c:v>
                </c:pt>
                <c:pt idx="281">
                  <c:v>45389</c:v>
                </c:pt>
                <c:pt idx="282">
                  <c:v>45390</c:v>
                </c:pt>
                <c:pt idx="283">
                  <c:v>45391</c:v>
                </c:pt>
                <c:pt idx="284">
                  <c:v>45392</c:v>
                </c:pt>
                <c:pt idx="285">
                  <c:v>45393</c:v>
                </c:pt>
                <c:pt idx="286">
                  <c:v>45394</c:v>
                </c:pt>
                <c:pt idx="287">
                  <c:v>45395</c:v>
                </c:pt>
                <c:pt idx="288">
                  <c:v>45396</c:v>
                </c:pt>
                <c:pt idx="289">
                  <c:v>45397</c:v>
                </c:pt>
                <c:pt idx="290">
                  <c:v>45398</c:v>
                </c:pt>
                <c:pt idx="291">
                  <c:v>45399</c:v>
                </c:pt>
                <c:pt idx="292">
                  <c:v>45400</c:v>
                </c:pt>
                <c:pt idx="293">
                  <c:v>45401</c:v>
                </c:pt>
                <c:pt idx="294">
                  <c:v>45402</c:v>
                </c:pt>
                <c:pt idx="295">
                  <c:v>45403</c:v>
                </c:pt>
                <c:pt idx="296">
                  <c:v>45404</c:v>
                </c:pt>
                <c:pt idx="297">
                  <c:v>45405</c:v>
                </c:pt>
                <c:pt idx="298">
                  <c:v>45406</c:v>
                </c:pt>
                <c:pt idx="299">
                  <c:v>45407</c:v>
                </c:pt>
                <c:pt idx="300">
                  <c:v>45408</c:v>
                </c:pt>
                <c:pt idx="301">
                  <c:v>45409</c:v>
                </c:pt>
                <c:pt idx="302">
                  <c:v>45410</c:v>
                </c:pt>
                <c:pt idx="303">
                  <c:v>45411</c:v>
                </c:pt>
                <c:pt idx="304">
                  <c:v>45412</c:v>
                </c:pt>
                <c:pt idx="305">
                  <c:v>45413</c:v>
                </c:pt>
                <c:pt idx="306">
                  <c:v>45414</c:v>
                </c:pt>
                <c:pt idx="307">
                  <c:v>45415</c:v>
                </c:pt>
                <c:pt idx="308">
                  <c:v>45416</c:v>
                </c:pt>
                <c:pt idx="309">
                  <c:v>45417</c:v>
                </c:pt>
                <c:pt idx="310">
                  <c:v>45418</c:v>
                </c:pt>
                <c:pt idx="311">
                  <c:v>45419</c:v>
                </c:pt>
                <c:pt idx="312">
                  <c:v>45420</c:v>
                </c:pt>
                <c:pt idx="313">
                  <c:v>45421</c:v>
                </c:pt>
                <c:pt idx="314">
                  <c:v>45422</c:v>
                </c:pt>
                <c:pt idx="315">
                  <c:v>45423</c:v>
                </c:pt>
                <c:pt idx="316">
                  <c:v>45424</c:v>
                </c:pt>
                <c:pt idx="317">
                  <c:v>45425</c:v>
                </c:pt>
                <c:pt idx="318">
                  <c:v>45426</c:v>
                </c:pt>
                <c:pt idx="319">
                  <c:v>45427</c:v>
                </c:pt>
                <c:pt idx="320">
                  <c:v>45428</c:v>
                </c:pt>
                <c:pt idx="321">
                  <c:v>45429</c:v>
                </c:pt>
                <c:pt idx="322">
                  <c:v>45430</c:v>
                </c:pt>
                <c:pt idx="323">
                  <c:v>45431</c:v>
                </c:pt>
                <c:pt idx="324">
                  <c:v>45432</c:v>
                </c:pt>
                <c:pt idx="325">
                  <c:v>45433</c:v>
                </c:pt>
                <c:pt idx="326">
                  <c:v>45434</c:v>
                </c:pt>
                <c:pt idx="327">
                  <c:v>45435</c:v>
                </c:pt>
                <c:pt idx="328">
                  <c:v>45436</c:v>
                </c:pt>
                <c:pt idx="329">
                  <c:v>45437</c:v>
                </c:pt>
                <c:pt idx="330">
                  <c:v>45438</c:v>
                </c:pt>
                <c:pt idx="331">
                  <c:v>45439</c:v>
                </c:pt>
                <c:pt idx="332">
                  <c:v>45440</c:v>
                </c:pt>
                <c:pt idx="333">
                  <c:v>45441</c:v>
                </c:pt>
                <c:pt idx="334">
                  <c:v>45442</c:v>
                </c:pt>
                <c:pt idx="335">
                  <c:v>45443</c:v>
                </c:pt>
                <c:pt idx="336">
                  <c:v>45444</c:v>
                </c:pt>
                <c:pt idx="337">
                  <c:v>45445</c:v>
                </c:pt>
                <c:pt idx="338">
                  <c:v>45446</c:v>
                </c:pt>
                <c:pt idx="339">
                  <c:v>45447</c:v>
                </c:pt>
                <c:pt idx="340">
                  <c:v>45448</c:v>
                </c:pt>
                <c:pt idx="341">
                  <c:v>45449</c:v>
                </c:pt>
                <c:pt idx="342">
                  <c:v>45450</c:v>
                </c:pt>
                <c:pt idx="343">
                  <c:v>45451</c:v>
                </c:pt>
                <c:pt idx="344">
                  <c:v>45452</c:v>
                </c:pt>
                <c:pt idx="345">
                  <c:v>45453</c:v>
                </c:pt>
                <c:pt idx="346">
                  <c:v>45454</c:v>
                </c:pt>
                <c:pt idx="347">
                  <c:v>45455</c:v>
                </c:pt>
                <c:pt idx="348">
                  <c:v>45456</c:v>
                </c:pt>
                <c:pt idx="349">
                  <c:v>45457</c:v>
                </c:pt>
                <c:pt idx="350">
                  <c:v>45458</c:v>
                </c:pt>
                <c:pt idx="351">
                  <c:v>45459</c:v>
                </c:pt>
                <c:pt idx="352">
                  <c:v>45460</c:v>
                </c:pt>
                <c:pt idx="353">
                  <c:v>45461</c:v>
                </c:pt>
                <c:pt idx="354">
                  <c:v>45462</c:v>
                </c:pt>
                <c:pt idx="355">
                  <c:v>45463</c:v>
                </c:pt>
                <c:pt idx="356">
                  <c:v>45464</c:v>
                </c:pt>
                <c:pt idx="357">
                  <c:v>45465</c:v>
                </c:pt>
                <c:pt idx="358">
                  <c:v>45466</c:v>
                </c:pt>
                <c:pt idx="359">
                  <c:v>45467</c:v>
                </c:pt>
                <c:pt idx="360">
                  <c:v>45468</c:v>
                </c:pt>
                <c:pt idx="361">
                  <c:v>45469</c:v>
                </c:pt>
                <c:pt idx="362">
                  <c:v>45470</c:v>
                </c:pt>
                <c:pt idx="363">
                  <c:v>45471</c:v>
                </c:pt>
                <c:pt idx="364">
                  <c:v>45472</c:v>
                </c:pt>
                <c:pt idx="365">
                  <c:v>45473</c:v>
                </c:pt>
              </c:numCache>
            </c:numRef>
          </c:cat>
          <c:val>
            <c:numRef>
              <c:f>GL!$DT$4:$DT$369</c:f>
              <c:numCache>
                <c:formatCode>_-* #,##0_-;\-* #,##0_-;_-* "-"??_-;_-@_-</c:formatCode>
                <c:ptCount val="36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1DE1-4D93-B418-86B9006736F2}"/>
            </c:ext>
          </c:extLst>
        </c:ser>
        <c:dLbls>
          <c:showLegendKey val="0"/>
          <c:showVal val="0"/>
          <c:showCatName val="0"/>
          <c:showSerName val="0"/>
          <c:showPercent val="0"/>
          <c:showBubbleSize val="0"/>
        </c:dLbls>
        <c:axId val="479535872"/>
        <c:axId val="479537408"/>
      </c:areaChart>
      <c:dateAx>
        <c:axId val="479535872"/>
        <c:scaling>
          <c:orientation val="minMax"/>
        </c:scaling>
        <c:delete val="0"/>
        <c:axPos val="b"/>
        <c:numFmt formatCode="mmm\-yy" sourceLinked="0"/>
        <c:majorTickMark val="out"/>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n-US"/>
          </a:p>
        </c:txPr>
        <c:crossAx val="479537408"/>
        <c:crosses val="autoZero"/>
        <c:auto val="1"/>
        <c:lblOffset val="100"/>
        <c:baseTimeUnit val="days"/>
        <c:majorUnit val="3"/>
        <c:majorTimeUnit val="months"/>
      </c:dateAx>
      <c:valAx>
        <c:axId val="479537408"/>
        <c:scaling>
          <c:orientation val="minMax"/>
          <c:min val="0"/>
        </c:scaling>
        <c:delete val="0"/>
        <c:axPos val="l"/>
        <c:majorGridlines/>
        <c:numFmt formatCode="_-* #,##0_-;\-* #,##0_-;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9535872"/>
        <c:crosses val="autoZero"/>
        <c:crossBetween val="midCat"/>
      </c:valAx>
    </c:plotArea>
    <c:legend>
      <c:legendPos val="r"/>
      <c:layout>
        <c:manualLayout>
          <c:xMode val="edge"/>
          <c:yMode val="edge"/>
          <c:x val="0.87083515163014258"/>
          <c:y val="0.47647120580515667"/>
          <c:w val="0.11666698289219868"/>
          <c:h val="0.12941207349081363"/>
        </c:manualLayout>
      </c:layout>
      <c:overlay val="0"/>
      <c:txPr>
        <a:bodyPr/>
        <a:lstStyle/>
        <a:p>
          <a:pPr>
            <a:defRPr sz="595" b="0"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hyperlink" Target="https://www.act2.com.au/tech-spot/is-your-smsf-eligible-to-use-the-segregated-method-2021" TargetMode="Externa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0.xml"/><Relationship Id="rId17" Type="http://schemas.openxmlformats.org/officeDocument/2006/relationships/image" Target="../media/image6.jpeg"/><Relationship Id="rId2" Type="http://schemas.openxmlformats.org/officeDocument/2006/relationships/chart" Target="../charts/chart2.xml"/><Relationship Id="rId16" Type="http://schemas.openxmlformats.org/officeDocument/2006/relationships/hyperlink" Target="https://www.act2.com.au/tech-spot/draft-legislation-for-ecpi-changes-everything-you-need-to-know-2021-5" TargetMode="Externa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3.jpeg"/><Relationship Id="rId5" Type="http://schemas.openxmlformats.org/officeDocument/2006/relationships/chart" Target="../charts/chart5.xml"/><Relationship Id="rId15" Type="http://schemas.openxmlformats.org/officeDocument/2006/relationships/image" Target="../media/image5.svg"/><Relationship Id="rId10" Type="http://schemas.openxmlformats.org/officeDocument/2006/relationships/image" Target="../media/image2.jpe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190500</xdr:colOff>
      <xdr:row>340</xdr:row>
      <xdr:rowOff>57150</xdr:rowOff>
    </xdr:from>
    <xdr:to>
      <xdr:col>7</xdr:col>
      <xdr:colOff>161925</xdr:colOff>
      <xdr:row>362</xdr:row>
      <xdr:rowOff>104775</xdr:rowOff>
    </xdr:to>
    <xdr:graphicFrame macro="">
      <xdr:nvGraphicFramePr>
        <xdr:cNvPr id="3054439" name="Chart 172">
          <a:extLst>
            <a:ext uri="{FF2B5EF4-FFF2-40B4-BE49-F238E27FC236}">
              <a16:creationId xmlns:a16="http://schemas.microsoft.com/office/drawing/2014/main" id="{E3CF508B-BE0D-4810-B547-09A86079B3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209550</xdr:colOff>
      <xdr:row>365</xdr:row>
      <xdr:rowOff>76200</xdr:rowOff>
    </xdr:from>
    <xdr:to>
      <xdr:col>4</xdr:col>
      <xdr:colOff>1028700</xdr:colOff>
      <xdr:row>382</xdr:row>
      <xdr:rowOff>76200</xdr:rowOff>
    </xdr:to>
    <xdr:graphicFrame macro="">
      <xdr:nvGraphicFramePr>
        <xdr:cNvPr id="3054440" name="Chart 172">
          <a:extLst>
            <a:ext uri="{FF2B5EF4-FFF2-40B4-BE49-F238E27FC236}">
              <a16:creationId xmlns:a16="http://schemas.microsoft.com/office/drawing/2014/main" id="{55431A69-8AA2-4935-860F-EE7C1C1BE2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209550</xdr:colOff>
      <xdr:row>384</xdr:row>
      <xdr:rowOff>19050</xdr:rowOff>
    </xdr:from>
    <xdr:to>
      <xdr:col>4</xdr:col>
      <xdr:colOff>1028700</xdr:colOff>
      <xdr:row>401</xdr:row>
      <xdr:rowOff>19050</xdr:rowOff>
    </xdr:to>
    <xdr:graphicFrame macro="">
      <xdr:nvGraphicFramePr>
        <xdr:cNvPr id="3054441" name="Chart 172">
          <a:extLst>
            <a:ext uri="{FF2B5EF4-FFF2-40B4-BE49-F238E27FC236}">
              <a16:creationId xmlns:a16="http://schemas.microsoft.com/office/drawing/2014/main" id="{47CBEA4F-979C-414A-96AA-07C5C965C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209550</xdr:colOff>
      <xdr:row>402</xdr:row>
      <xdr:rowOff>142875</xdr:rowOff>
    </xdr:from>
    <xdr:to>
      <xdr:col>4</xdr:col>
      <xdr:colOff>1028700</xdr:colOff>
      <xdr:row>419</xdr:row>
      <xdr:rowOff>142875</xdr:rowOff>
    </xdr:to>
    <xdr:graphicFrame macro="">
      <xdr:nvGraphicFramePr>
        <xdr:cNvPr id="3054442" name="Chart 172">
          <a:extLst>
            <a:ext uri="{FF2B5EF4-FFF2-40B4-BE49-F238E27FC236}">
              <a16:creationId xmlns:a16="http://schemas.microsoft.com/office/drawing/2014/main" id="{FDC7A95D-48C4-4BEE-92F1-36DA882C45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209550</xdr:colOff>
      <xdr:row>421</xdr:row>
      <xdr:rowOff>85725</xdr:rowOff>
    </xdr:from>
    <xdr:to>
      <xdr:col>4</xdr:col>
      <xdr:colOff>1028700</xdr:colOff>
      <xdr:row>438</xdr:row>
      <xdr:rowOff>85725</xdr:rowOff>
    </xdr:to>
    <xdr:graphicFrame macro="">
      <xdr:nvGraphicFramePr>
        <xdr:cNvPr id="3054443" name="Chart 172">
          <a:extLst>
            <a:ext uri="{FF2B5EF4-FFF2-40B4-BE49-F238E27FC236}">
              <a16:creationId xmlns:a16="http://schemas.microsoft.com/office/drawing/2014/main" id="{9C235846-CCA2-4101-8D87-569677042B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276225</xdr:colOff>
      <xdr:row>365</xdr:row>
      <xdr:rowOff>76200</xdr:rowOff>
    </xdr:from>
    <xdr:to>
      <xdr:col>10</xdr:col>
      <xdr:colOff>0</xdr:colOff>
      <xdr:row>382</xdr:row>
      <xdr:rowOff>76200</xdr:rowOff>
    </xdr:to>
    <xdr:graphicFrame macro="">
      <xdr:nvGraphicFramePr>
        <xdr:cNvPr id="3054444" name="Chart 1">
          <a:extLst>
            <a:ext uri="{FF2B5EF4-FFF2-40B4-BE49-F238E27FC236}">
              <a16:creationId xmlns:a16="http://schemas.microsoft.com/office/drawing/2014/main" id="{0645A0BD-58FB-451E-ABB8-073506328E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276225</xdr:colOff>
      <xdr:row>384</xdr:row>
      <xdr:rowOff>19050</xdr:rowOff>
    </xdr:from>
    <xdr:to>
      <xdr:col>10</xdr:col>
      <xdr:colOff>0</xdr:colOff>
      <xdr:row>401</xdr:row>
      <xdr:rowOff>19050</xdr:rowOff>
    </xdr:to>
    <xdr:graphicFrame macro="">
      <xdr:nvGraphicFramePr>
        <xdr:cNvPr id="3054445" name="Chart 8">
          <a:extLst>
            <a:ext uri="{FF2B5EF4-FFF2-40B4-BE49-F238E27FC236}">
              <a16:creationId xmlns:a16="http://schemas.microsoft.com/office/drawing/2014/main" id="{43128C96-9136-4E04-A2A6-4C478DCFB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276225</xdr:colOff>
      <xdr:row>402</xdr:row>
      <xdr:rowOff>142875</xdr:rowOff>
    </xdr:from>
    <xdr:to>
      <xdr:col>10</xdr:col>
      <xdr:colOff>0</xdr:colOff>
      <xdr:row>419</xdr:row>
      <xdr:rowOff>142875</xdr:rowOff>
    </xdr:to>
    <xdr:graphicFrame macro="">
      <xdr:nvGraphicFramePr>
        <xdr:cNvPr id="3054446" name="Chart 9">
          <a:extLst>
            <a:ext uri="{FF2B5EF4-FFF2-40B4-BE49-F238E27FC236}">
              <a16:creationId xmlns:a16="http://schemas.microsoft.com/office/drawing/2014/main" id="{E38BB7EF-CC7F-4344-8B3C-25CB9AD877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276225</xdr:colOff>
      <xdr:row>421</xdr:row>
      <xdr:rowOff>85725</xdr:rowOff>
    </xdr:from>
    <xdr:to>
      <xdr:col>10</xdr:col>
      <xdr:colOff>0</xdr:colOff>
      <xdr:row>438</xdr:row>
      <xdr:rowOff>85725</xdr:rowOff>
    </xdr:to>
    <xdr:graphicFrame macro="">
      <xdr:nvGraphicFramePr>
        <xdr:cNvPr id="3054447" name="Chart 10">
          <a:extLst>
            <a:ext uri="{FF2B5EF4-FFF2-40B4-BE49-F238E27FC236}">
              <a16:creationId xmlns:a16="http://schemas.microsoft.com/office/drawing/2014/main" id="{5A500E33-374E-4AB3-A64E-19FF4067E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9</xdr:col>
      <xdr:colOff>295275</xdr:colOff>
      <xdr:row>50</xdr:row>
      <xdr:rowOff>133350</xdr:rowOff>
    </xdr:from>
    <xdr:to>
      <xdr:col>9</xdr:col>
      <xdr:colOff>1005840</xdr:colOff>
      <xdr:row>52</xdr:row>
      <xdr:rowOff>190500</xdr:rowOff>
    </xdr:to>
    <xdr:pic>
      <xdr:nvPicPr>
        <xdr:cNvPr id="3054449" name="Picture 1">
          <a:extLst>
            <a:ext uri="{FF2B5EF4-FFF2-40B4-BE49-F238E27FC236}">
              <a16:creationId xmlns:a16="http://schemas.microsoft.com/office/drawing/2014/main" id="{EAD69B7B-08FC-45D3-8473-CA32F8D6E4FD}"/>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9534525" y="9401175"/>
          <a:ext cx="714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133350</xdr:colOff>
      <xdr:row>105</xdr:row>
      <xdr:rowOff>76200</xdr:rowOff>
    </xdr:from>
    <xdr:to>
      <xdr:col>7</xdr:col>
      <xdr:colOff>857250</xdr:colOff>
      <xdr:row>112</xdr:row>
      <xdr:rowOff>114300</xdr:rowOff>
    </xdr:to>
    <xdr:pic>
      <xdr:nvPicPr>
        <xdr:cNvPr id="3054450" name="Picture 1">
          <a:extLst>
            <a:ext uri="{FF2B5EF4-FFF2-40B4-BE49-F238E27FC236}">
              <a16:creationId xmlns:a16="http://schemas.microsoft.com/office/drawing/2014/main" id="{D803737A-0636-476C-8D11-526B2B54B14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7600950" y="18278475"/>
          <a:ext cx="7143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439</xdr:row>
      <xdr:rowOff>0</xdr:rowOff>
    </xdr:from>
    <xdr:to>
      <xdr:col>9</xdr:col>
      <xdr:colOff>1009650</xdr:colOff>
      <xdr:row>474</xdr:row>
      <xdr:rowOff>152400</xdr:rowOff>
    </xdr:to>
    <xdr:graphicFrame macro="">
      <xdr:nvGraphicFramePr>
        <xdr:cNvPr id="3054451" name="Chart 172">
          <a:extLst>
            <a:ext uri="{FF2B5EF4-FFF2-40B4-BE49-F238E27FC236}">
              <a16:creationId xmlns:a16="http://schemas.microsoft.com/office/drawing/2014/main" id="{9AE352D7-A90A-4D65-BB29-7BC51E940E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9</xdr:col>
      <xdr:colOff>66675</xdr:colOff>
      <xdr:row>221</xdr:row>
      <xdr:rowOff>152400</xdr:rowOff>
    </xdr:from>
    <xdr:to>
      <xdr:col>9</xdr:col>
      <xdr:colOff>342900</xdr:colOff>
      <xdr:row>223</xdr:row>
      <xdr:rowOff>57150</xdr:rowOff>
    </xdr:to>
    <xdr:pic>
      <xdr:nvPicPr>
        <xdr:cNvPr id="3" name="Graphic 2" descr="Badge Question Mark with solid fill">
          <a:hlinkClick xmlns:r="http://schemas.openxmlformats.org/officeDocument/2006/relationships" r:id="rId13"/>
          <a:extLst>
            <a:ext uri="{FF2B5EF4-FFF2-40B4-BE49-F238E27FC236}">
              <a16:creationId xmlns:a16="http://schemas.microsoft.com/office/drawing/2014/main" id="{169685EF-CC52-43D1-9B16-517C95CADCB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9305925" y="34823400"/>
          <a:ext cx="276225" cy="276225"/>
        </a:xfrm>
        <a:prstGeom prst="rect">
          <a:avLst/>
        </a:prstGeom>
      </xdr:spPr>
    </xdr:pic>
    <xdr:clientData/>
  </xdr:twoCellAnchor>
  <xdr:twoCellAnchor editAs="oneCell">
    <xdr:from>
      <xdr:col>9</xdr:col>
      <xdr:colOff>66675</xdr:colOff>
      <xdr:row>223</xdr:row>
      <xdr:rowOff>161925</xdr:rowOff>
    </xdr:from>
    <xdr:to>
      <xdr:col>9</xdr:col>
      <xdr:colOff>342900</xdr:colOff>
      <xdr:row>229</xdr:row>
      <xdr:rowOff>53340</xdr:rowOff>
    </xdr:to>
    <xdr:pic>
      <xdr:nvPicPr>
        <xdr:cNvPr id="17" name="Graphic 16" descr="Badge Question Mark with solid fill">
          <a:hlinkClick xmlns:r="http://schemas.openxmlformats.org/officeDocument/2006/relationships" r:id="rId16"/>
          <a:extLst>
            <a:ext uri="{FF2B5EF4-FFF2-40B4-BE49-F238E27FC236}">
              <a16:creationId xmlns:a16="http://schemas.microsoft.com/office/drawing/2014/main" id="{3065A029-BDAC-427A-ADF2-19D469CBB465}"/>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9305925" y="35213925"/>
          <a:ext cx="276225" cy="276225"/>
        </a:xfrm>
        <a:prstGeom prst="rect">
          <a:avLst/>
        </a:prstGeom>
      </xdr:spPr>
    </xdr:pic>
    <xdr:clientData/>
  </xdr:twoCellAnchor>
  <xdr:twoCellAnchor editAs="oneCell">
    <xdr:from>
      <xdr:col>1</xdr:col>
      <xdr:colOff>1</xdr:colOff>
      <xdr:row>0</xdr:row>
      <xdr:rowOff>0</xdr:rowOff>
    </xdr:from>
    <xdr:to>
      <xdr:col>1</xdr:col>
      <xdr:colOff>1461255</xdr:colOff>
      <xdr:row>3</xdr:row>
      <xdr:rowOff>192225</xdr:rowOff>
    </xdr:to>
    <xdr:pic>
      <xdr:nvPicPr>
        <xdr:cNvPr id="4" name="Picture 3">
          <a:extLst>
            <a:ext uri="{FF2B5EF4-FFF2-40B4-BE49-F238E27FC236}">
              <a16:creationId xmlns:a16="http://schemas.microsoft.com/office/drawing/2014/main" id="{017B1F6A-C54E-2F23-4622-685010EF2AD1}"/>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7626" y="0"/>
          <a:ext cx="1461254" cy="144000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0.88876</cdr:x>
      <cdr:y>0.01563</cdr:y>
    </cdr:from>
    <cdr:to>
      <cdr:x>0.99107</cdr:x>
      <cdr:y>0.12647</cdr:y>
    </cdr:to>
    <cdr:pic>
      <cdr:nvPicPr>
        <cdr:cNvPr id="410625" name="Picture 1">
          <a:extLst xmlns:a="http://schemas.openxmlformats.org/drawingml/2006/main">
            <a:ext uri="{FF2B5EF4-FFF2-40B4-BE49-F238E27FC236}">
              <a16:creationId xmlns:a16="http://schemas.microsoft.com/office/drawing/2014/main" id="{73E73758-BB7B-4D88-AAB7-3EFB8E5B2B8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15789" y="50618"/>
          <a:ext cx="485302" cy="3589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11.xml><?xml version="1.0" encoding="utf-8"?>
<c:userShapes xmlns:c="http://schemas.openxmlformats.org/drawingml/2006/chart">
  <cdr:relSizeAnchor xmlns:cdr="http://schemas.openxmlformats.org/drawingml/2006/chartDrawing">
    <cdr:from>
      <cdr:x>0.94781</cdr:x>
      <cdr:y>0.00747</cdr:y>
    </cdr:from>
    <cdr:to>
      <cdr:x>0.99583</cdr:x>
      <cdr:y>0.06029</cdr:y>
    </cdr:to>
    <cdr:pic>
      <cdr:nvPicPr>
        <cdr:cNvPr id="411649" name="Picture 3">
          <a:extLst xmlns:a="http://schemas.openxmlformats.org/drawingml/2006/main">
            <a:ext uri="{FF2B5EF4-FFF2-40B4-BE49-F238E27FC236}">
              <a16:creationId xmlns:a16="http://schemas.microsoft.com/office/drawing/2014/main" id="{A01102F2-52E1-4D09-A960-F640E8B5840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9181390" y="50918"/>
          <a:ext cx="465141" cy="38723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2.xml><?xml version="1.0" encoding="utf-8"?>
<c:userShapes xmlns:c="http://schemas.openxmlformats.org/drawingml/2006/chart">
  <cdr:relSizeAnchor xmlns:cdr="http://schemas.openxmlformats.org/drawingml/2006/chartDrawing">
    <cdr:from>
      <cdr:x>0.92641</cdr:x>
      <cdr:y>0.01194</cdr:y>
    </cdr:from>
    <cdr:to>
      <cdr:x>0.99276</cdr:x>
      <cdr:y>0.10337</cdr:y>
    </cdr:to>
    <cdr:pic>
      <cdr:nvPicPr>
        <cdr:cNvPr id="402433" name="Picture 1">
          <a:extLst xmlns:a="http://schemas.openxmlformats.org/drawingml/2006/main">
            <a:ext uri="{FF2B5EF4-FFF2-40B4-BE49-F238E27FC236}">
              <a16:creationId xmlns:a16="http://schemas.microsoft.com/office/drawing/2014/main" id="{7C2DE0CB-C489-4B8C-A4BF-7F8BD4EEDD4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6847467" y="50608"/>
          <a:ext cx="490419" cy="3875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3.xml><?xml version="1.0" encoding="utf-8"?>
<c:userShapes xmlns:c="http://schemas.openxmlformats.org/drawingml/2006/chart">
  <cdr:relSizeAnchor xmlns:cdr="http://schemas.openxmlformats.org/drawingml/2006/chartDrawing">
    <cdr:from>
      <cdr:x>0.88879</cdr:x>
      <cdr:y>0.01466</cdr:y>
    </cdr:from>
    <cdr:to>
      <cdr:x>0.9933</cdr:x>
      <cdr:y>0.13235</cdr:y>
    </cdr:to>
    <cdr:pic>
      <cdr:nvPicPr>
        <cdr:cNvPr id="403457" name="Picture 1">
          <a:extLst xmlns:a="http://schemas.openxmlformats.org/drawingml/2006/main">
            <a:ext uri="{FF2B5EF4-FFF2-40B4-BE49-F238E27FC236}">
              <a16:creationId xmlns:a16="http://schemas.microsoft.com/office/drawing/2014/main" id="{C1F267F2-EC7B-49D9-93B7-2BEC720CE09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76780" y="47476"/>
          <a:ext cx="514651" cy="38114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4.xml><?xml version="1.0" encoding="utf-8"?>
<c:userShapes xmlns:c="http://schemas.openxmlformats.org/drawingml/2006/chart">
  <cdr:relSizeAnchor xmlns:cdr="http://schemas.openxmlformats.org/drawingml/2006/chartDrawing">
    <cdr:from>
      <cdr:x>0.88879</cdr:x>
      <cdr:y>0.01466</cdr:y>
    </cdr:from>
    <cdr:to>
      <cdr:x>0.9933</cdr:x>
      <cdr:y>0.12353</cdr:y>
    </cdr:to>
    <cdr:pic>
      <cdr:nvPicPr>
        <cdr:cNvPr id="404481" name="Picture 1">
          <a:extLst xmlns:a="http://schemas.openxmlformats.org/drawingml/2006/main">
            <a:ext uri="{FF2B5EF4-FFF2-40B4-BE49-F238E27FC236}">
              <a16:creationId xmlns:a16="http://schemas.microsoft.com/office/drawing/2014/main" id="{A5DC4229-3540-401C-83A8-A35F640E5D6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376780" y="47476"/>
          <a:ext cx="514651" cy="3525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5.xml><?xml version="1.0" encoding="utf-8"?>
<c:userShapes xmlns:c="http://schemas.openxmlformats.org/drawingml/2006/chart">
  <cdr:relSizeAnchor xmlns:cdr="http://schemas.openxmlformats.org/drawingml/2006/chartDrawing">
    <cdr:from>
      <cdr:x>0.88879</cdr:x>
      <cdr:y>0.01466</cdr:y>
    </cdr:from>
    <cdr:to>
      <cdr:x>0.9933</cdr:x>
      <cdr:y>0.12353</cdr:y>
    </cdr:to>
    <cdr:pic>
      <cdr:nvPicPr>
        <cdr:cNvPr id="405505" name="Picture 1">
          <a:extLst xmlns:a="http://schemas.openxmlformats.org/drawingml/2006/main">
            <a:ext uri="{FF2B5EF4-FFF2-40B4-BE49-F238E27FC236}">
              <a16:creationId xmlns:a16="http://schemas.microsoft.com/office/drawing/2014/main" id="{DCFDDDFD-570E-4F5E-A8D3-D5EB14B84CB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072014" y="47476"/>
          <a:ext cx="478815" cy="3525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6.xml><?xml version="1.0" encoding="utf-8"?>
<c:userShapes xmlns:c="http://schemas.openxmlformats.org/drawingml/2006/chart">
  <cdr:relSizeAnchor xmlns:cdr="http://schemas.openxmlformats.org/drawingml/2006/chartDrawing">
    <cdr:from>
      <cdr:x>0.88705</cdr:x>
      <cdr:y>0.01466</cdr:y>
    </cdr:from>
    <cdr:to>
      <cdr:x>0.9911</cdr:x>
      <cdr:y>0.12941</cdr:y>
    </cdr:to>
    <cdr:pic>
      <cdr:nvPicPr>
        <cdr:cNvPr id="406529" name="Picture 1">
          <a:extLst xmlns:a="http://schemas.openxmlformats.org/drawingml/2006/main">
            <a:ext uri="{FF2B5EF4-FFF2-40B4-BE49-F238E27FC236}">
              <a16:creationId xmlns:a16="http://schemas.microsoft.com/office/drawing/2014/main" id="{43488616-E6B7-4F8D-962E-A5DF7E814B5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064042" y="47476"/>
          <a:ext cx="476707" cy="37162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7.xml><?xml version="1.0" encoding="utf-8"?>
<c:userShapes xmlns:c="http://schemas.openxmlformats.org/drawingml/2006/chart">
  <cdr:relSizeAnchor xmlns:cdr="http://schemas.openxmlformats.org/drawingml/2006/chartDrawing">
    <cdr:from>
      <cdr:x>0.88827</cdr:x>
      <cdr:y>0.01393</cdr:y>
    </cdr:from>
    <cdr:to>
      <cdr:x>0.99107</cdr:x>
      <cdr:y>0.12941</cdr:y>
    </cdr:to>
    <cdr:pic>
      <cdr:nvPicPr>
        <cdr:cNvPr id="407553" name="Picture 1">
          <a:extLst xmlns:a="http://schemas.openxmlformats.org/drawingml/2006/main">
            <a:ext uri="{FF2B5EF4-FFF2-40B4-BE49-F238E27FC236}">
              <a16:creationId xmlns:a16="http://schemas.microsoft.com/office/drawing/2014/main" id="{0E030507-92D3-41EC-86CE-5670E4D323E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13464" y="45112"/>
          <a:ext cx="487627" cy="3739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8.xml><?xml version="1.0" encoding="utf-8"?>
<c:userShapes xmlns:c="http://schemas.openxmlformats.org/drawingml/2006/chart">
  <cdr:relSizeAnchor xmlns:cdr="http://schemas.openxmlformats.org/drawingml/2006/chartDrawing">
    <cdr:from>
      <cdr:x>0.88852</cdr:x>
      <cdr:y>0.01563</cdr:y>
    </cdr:from>
    <cdr:to>
      <cdr:x>0.99107</cdr:x>
      <cdr:y>0.12647</cdr:y>
    </cdr:to>
    <cdr:pic>
      <cdr:nvPicPr>
        <cdr:cNvPr id="408577" name="Picture 1">
          <a:extLst xmlns:a="http://schemas.openxmlformats.org/drawingml/2006/main">
            <a:ext uri="{FF2B5EF4-FFF2-40B4-BE49-F238E27FC236}">
              <a16:creationId xmlns:a16="http://schemas.microsoft.com/office/drawing/2014/main" id="{0CFC560A-2148-439C-A83E-4FC8597F64A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14650" y="50617"/>
          <a:ext cx="486441" cy="3589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drawings/drawing9.xml><?xml version="1.0" encoding="utf-8"?>
<c:userShapes xmlns:c="http://schemas.openxmlformats.org/drawingml/2006/chart">
  <cdr:relSizeAnchor xmlns:cdr="http://schemas.openxmlformats.org/drawingml/2006/chartDrawing">
    <cdr:from>
      <cdr:x>0.8907</cdr:x>
      <cdr:y>0.01393</cdr:y>
    </cdr:from>
    <cdr:to>
      <cdr:x>0.99328</cdr:x>
      <cdr:y>0.14118</cdr:y>
    </cdr:to>
    <cdr:pic>
      <cdr:nvPicPr>
        <cdr:cNvPr id="409601" name="Picture 1">
          <a:extLst xmlns:a="http://schemas.openxmlformats.org/drawingml/2006/main">
            <a:ext uri="{FF2B5EF4-FFF2-40B4-BE49-F238E27FC236}">
              <a16:creationId xmlns:a16="http://schemas.microsoft.com/office/drawing/2014/main" id="{2019E4E9-CBCA-4321-957C-775989AA87E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224991" y="45112"/>
          <a:ext cx="486583" cy="4120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pic>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ct2.com.au/attachments/Act2_techdoc_May2018.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fitToPage="1"/>
  </sheetPr>
  <dimension ref="A1:U442"/>
  <sheetViews>
    <sheetView showGridLines="0" showRowColHeaders="0" tabSelected="1" zoomScaleNormal="100" workbookViewId="0">
      <selection activeCell="D8" sqref="D8:G8"/>
    </sheetView>
  </sheetViews>
  <sheetFormatPr defaultColWidth="9.140625" defaultRowHeight="15" x14ac:dyDescent="0.25"/>
  <cols>
    <col min="1" max="1" width="0.7109375" style="130" customWidth="1"/>
    <col min="2" max="2" width="23.28515625" style="130" customWidth="1"/>
    <col min="3" max="3" width="21.7109375" style="130" customWidth="1"/>
    <col min="4" max="7" width="16.5703125" style="130" customWidth="1"/>
    <col min="8" max="8" width="16.85546875" style="130" customWidth="1"/>
    <col min="9" max="9" width="9.7109375" style="130" customWidth="1"/>
    <col min="10" max="10" width="15.5703125" style="130" customWidth="1"/>
    <col min="11" max="11" width="10.85546875" style="176" hidden="1" customWidth="1"/>
    <col min="12" max="18" width="11" style="176" hidden="1" customWidth="1"/>
    <col min="19" max="21" width="11" style="130" hidden="1" customWidth="1"/>
    <col min="22" max="16384" width="9.140625" style="130"/>
  </cols>
  <sheetData>
    <row r="1" spans="2:18" ht="60" customHeight="1" x14ac:dyDescent="0.25">
      <c r="B1" s="307" t="s">
        <v>287</v>
      </c>
      <c r="C1" s="558" t="s">
        <v>289</v>
      </c>
      <c r="D1" s="558"/>
      <c r="E1" s="558"/>
      <c r="F1" s="558"/>
      <c r="G1" s="558"/>
      <c r="H1" s="558"/>
      <c r="J1" s="554" t="s">
        <v>247</v>
      </c>
      <c r="L1" s="308"/>
    </row>
    <row r="2" spans="2:18" ht="18.75" customHeight="1" x14ac:dyDescent="0.25">
      <c r="C2" s="559" t="s">
        <v>201</v>
      </c>
      <c r="D2" s="559"/>
      <c r="E2" s="559"/>
      <c r="F2" s="559"/>
      <c r="G2" s="559"/>
      <c r="H2" s="559"/>
      <c r="J2" s="555"/>
      <c r="L2" s="308"/>
    </row>
    <row r="3" spans="2:18" ht="20.100000000000001" customHeight="1" x14ac:dyDescent="0.25">
      <c r="B3" s="177"/>
      <c r="C3" s="544" t="s">
        <v>200</v>
      </c>
      <c r="D3" s="544"/>
      <c r="E3" s="544"/>
      <c r="F3" s="544"/>
      <c r="G3" s="544"/>
      <c r="H3" s="544"/>
      <c r="I3" s="178"/>
      <c r="J3" s="556"/>
      <c r="L3" s="308"/>
    </row>
    <row r="4" spans="2:18" ht="18" customHeight="1" x14ac:dyDescent="0.25">
      <c r="C4" s="557" t="s">
        <v>198</v>
      </c>
      <c r="D4" s="557"/>
      <c r="E4" s="557"/>
      <c r="F4" s="557"/>
      <c r="G4" s="557"/>
      <c r="H4" s="557"/>
      <c r="I4" s="179" t="s">
        <v>199</v>
      </c>
      <c r="J4" s="180"/>
      <c r="L4" s="308" t="s">
        <v>223</v>
      </c>
    </row>
    <row r="5" spans="2:18" ht="19.5" customHeight="1" x14ac:dyDescent="0.25"/>
    <row r="6" spans="2:18" ht="18" customHeight="1" x14ac:dyDescent="0.25">
      <c r="B6" s="467" t="s">
        <v>175</v>
      </c>
      <c r="C6" s="467"/>
      <c r="D6" s="467"/>
      <c r="E6" s="467"/>
      <c r="F6" s="467"/>
      <c r="G6" s="467"/>
      <c r="H6" s="467"/>
      <c r="I6" s="467"/>
      <c r="J6" s="467"/>
      <c r="O6" s="309" t="s">
        <v>183</v>
      </c>
      <c r="P6" s="309"/>
      <c r="Q6" s="309" t="s">
        <v>184</v>
      </c>
      <c r="R6" s="309" t="s">
        <v>185</v>
      </c>
    </row>
    <row r="7" spans="2:18" ht="6" customHeight="1" x14ac:dyDescent="0.25">
      <c r="O7" s="309"/>
      <c r="P7" s="309"/>
      <c r="Q7" s="309"/>
      <c r="R7" s="309"/>
    </row>
    <row r="8" spans="2:18" ht="15" customHeight="1" x14ac:dyDescent="0.25">
      <c r="B8" s="542" t="s">
        <v>43</v>
      </c>
      <c r="C8" s="543"/>
      <c r="D8" s="539"/>
      <c r="E8" s="540"/>
      <c r="F8" s="540"/>
      <c r="G8" s="541"/>
      <c r="H8" s="181"/>
      <c r="I8" s="182" t="s">
        <v>171</v>
      </c>
      <c r="J8" s="183"/>
      <c r="O8" s="309"/>
      <c r="P8" s="309"/>
      <c r="Q8" s="309"/>
      <c r="R8" s="309"/>
    </row>
    <row r="9" spans="2:18" ht="15" customHeight="1" x14ac:dyDescent="0.25">
      <c r="B9" s="542" t="s">
        <v>44</v>
      </c>
      <c r="C9" s="543"/>
      <c r="D9" s="539"/>
      <c r="E9" s="540"/>
      <c r="F9" s="540"/>
      <c r="G9" s="541"/>
      <c r="H9" s="184"/>
      <c r="I9" s="185" t="s">
        <v>170</v>
      </c>
      <c r="J9" s="183"/>
      <c r="O9" s="309"/>
      <c r="P9" s="309"/>
      <c r="Q9" s="309"/>
      <c r="R9" s="309"/>
    </row>
    <row r="10" spans="2:18" ht="15" customHeight="1" x14ac:dyDescent="0.25">
      <c r="B10" s="545" t="s">
        <v>134</v>
      </c>
      <c r="C10" s="546"/>
      <c r="D10" s="539"/>
      <c r="E10" s="540"/>
      <c r="F10" s="541"/>
      <c r="G10" s="186" t="s">
        <v>42</v>
      </c>
      <c r="H10" s="187"/>
      <c r="I10" s="185" t="s">
        <v>169</v>
      </c>
      <c r="J10" s="187"/>
      <c r="O10" s="309"/>
      <c r="P10" s="309"/>
      <c r="Q10" s="309"/>
      <c r="R10" s="309"/>
    </row>
    <row r="11" spans="2:18" ht="15" hidden="1" customHeight="1" x14ac:dyDescent="0.25">
      <c r="H11" s="132" t="s">
        <v>34</v>
      </c>
    </row>
    <row r="12" spans="2:18" ht="15" hidden="1" customHeight="1" x14ac:dyDescent="0.25">
      <c r="H12" s="132" t="s">
        <v>35</v>
      </c>
    </row>
    <row r="13" spans="2:18" ht="15" hidden="1" customHeight="1" x14ac:dyDescent="0.25">
      <c r="H13" s="132" t="s">
        <v>36</v>
      </c>
    </row>
    <row r="14" spans="2:18" ht="15" hidden="1" customHeight="1" x14ac:dyDescent="0.25">
      <c r="H14" s="132" t="s">
        <v>37</v>
      </c>
    </row>
    <row r="15" spans="2:18" ht="15" hidden="1" customHeight="1" x14ac:dyDescent="0.25">
      <c r="H15" s="132" t="s">
        <v>38</v>
      </c>
    </row>
    <row r="16" spans="2:18" ht="15" hidden="1" customHeight="1" x14ac:dyDescent="0.25">
      <c r="H16" s="132" t="s">
        <v>39</v>
      </c>
    </row>
    <row r="17" spans="2:11" ht="15" hidden="1" customHeight="1" x14ac:dyDescent="0.25">
      <c r="H17" s="132" t="s">
        <v>40</v>
      </c>
    </row>
    <row r="18" spans="2:11" ht="15" hidden="1" customHeight="1" x14ac:dyDescent="0.25">
      <c r="H18" s="132" t="s">
        <v>41</v>
      </c>
    </row>
    <row r="19" spans="2:11" ht="15" customHeight="1" x14ac:dyDescent="0.25">
      <c r="B19" s="547" t="s">
        <v>45</v>
      </c>
      <c r="C19" s="548"/>
      <c r="D19" s="549"/>
      <c r="E19" s="550"/>
      <c r="F19" s="438"/>
      <c r="G19" s="439" t="s">
        <v>186</v>
      </c>
      <c r="H19" s="551"/>
      <c r="I19" s="552"/>
      <c r="J19" s="553"/>
    </row>
    <row r="20" spans="2:11" ht="15" customHeight="1" x14ac:dyDescent="0.25">
      <c r="B20" s="442"/>
      <c r="C20" s="443"/>
      <c r="D20" s="563" t="s">
        <v>297</v>
      </c>
      <c r="E20" s="563"/>
      <c r="F20" s="563"/>
      <c r="G20" s="564"/>
      <c r="H20" s="560"/>
      <c r="I20" s="552"/>
      <c r="J20" s="553"/>
    </row>
    <row r="21" spans="2:11" ht="15" hidden="1" customHeight="1" x14ac:dyDescent="0.25">
      <c r="B21" s="444"/>
      <c r="C21" s="445"/>
      <c r="D21" s="436"/>
      <c r="E21" s="436"/>
      <c r="F21" s="440"/>
      <c r="G21" s="440"/>
      <c r="H21" s="561"/>
      <c r="I21" s="561"/>
      <c r="J21" s="562"/>
    </row>
    <row r="22" spans="2:11" ht="15" hidden="1" customHeight="1" x14ac:dyDescent="0.25">
      <c r="B22" s="446"/>
      <c r="C22" s="447"/>
      <c r="D22" s="437"/>
      <c r="E22" s="437"/>
      <c r="F22" s="441"/>
      <c r="G22" s="441"/>
      <c r="H22" s="561"/>
      <c r="I22" s="561"/>
      <c r="J22" s="562"/>
    </row>
    <row r="23" spans="2:11" ht="19.5" customHeight="1" x14ac:dyDescent="0.25">
      <c r="B23" s="188"/>
      <c r="C23" s="189"/>
      <c r="D23" s="189" t="str">
        <f>IF(D21&lt;&gt;"",IF(OR(ISERROR(FIND("@",D21)),NOT(ISERROR(FIND(" ",TRIM(D21)))),ISERROR(FIND(".",D21))),"Email 2",""),"")</f>
        <v/>
      </c>
      <c r="E23" s="189" t="str">
        <f>IF(D22&lt;&gt;"",IF(OR(ISERROR(FIND("@",D22)),NOT(ISERROR(FIND(" ",TRIM(D22)))),ISERROR(FIND(".",D22))),"Email 3",""),"")</f>
        <v/>
      </c>
      <c r="G23" s="188" t="str">
        <f>IF(OR(H23&lt;&gt;"",I23&lt;&gt;"",J23&lt;&gt;""),"Error with Invoice Email Address:","")</f>
        <v/>
      </c>
      <c r="H23" s="189" t="str">
        <f>IF(H20&lt;&gt;"",IF(OR(ISERROR(FIND("@",H20)),NOT(ISERROR(FIND(" ",TRIM(H20)))),ISERROR(FIND(".",H20))),"Email 1",""),"")</f>
        <v/>
      </c>
      <c r="I23" s="189" t="str">
        <f>IF(H21&lt;&gt;"",IF(OR(ISERROR(FIND("@",H21)),NOT(ISERROR(FIND(" ",TRIM(H21)))),ISERROR(FIND(".",H21))),"Email 2",""),"")</f>
        <v/>
      </c>
      <c r="J23" s="189" t="str">
        <f>IF(H22&lt;&gt;"",IF(OR(ISERROR(FIND("@",H22)),NOT(ISERROR(FIND(" ",TRIM(H22)))),ISERROR(FIND(".",H22))),"Email 3",""),"")</f>
        <v/>
      </c>
    </row>
    <row r="24" spans="2:11" ht="18" customHeight="1" x14ac:dyDescent="0.25">
      <c r="B24" s="467" t="s">
        <v>174</v>
      </c>
      <c r="C24" s="467"/>
      <c r="D24" s="467"/>
      <c r="E24" s="467"/>
      <c r="F24" s="467"/>
      <c r="G24" s="467"/>
      <c r="H24" s="467"/>
      <c r="I24" s="467"/>
      <c r="J24" s="467"/>
    </row>
    <row r="25" spans="2:11" ht="6" customHeight="1" x14ac:dyDescent="0.25"/>
    <row r="26" spans="2:11" ht="19.5" customHeight="1" x14ac:dyDescent="0.25">
      <c r="B26" s="565" t="s">
        <v>47</v>
      </c>
      <c r="C26" s="566"/>
      <c r="D26" s="567"/>
      <c r="E26" s="568"/>
      <c r="F26" s="568"/>
      <c r="G26" s="568"/>
      <c r="H26" s="568"/>
      <c r="I26" s="568"/>
      <c r="J26" s="569"/>
    </row>
    <row r="27" spans="2:11" ht="15" customHeight="1" x14ac:dyDescent="0.25">
      <c r="B27" s="190"/>
      <c r="C27" s="191" t="s">
        <v>48</v>
      </c>
      <c r="D27" s="570"/>
      <c r="E27" s="571"/>
      <c r="F27" s="571"/>
      <c r="G27" s="572"/>
      <c r="H27" s="192"/>
      <c r="I27" s="193"/>
      <c r="J27" s="194"/>
    </row>
    <row r="28" spans="2:11" ht="15" customHeight="1" x14ac:dyDescent="0.25">
      <c r="B28" s="195"/>
      <c r="C28" s="196" t="s">
        <v>79</v>
      </c>
      <c r="D28" s="571"/>
      <c r="E28" s="571"/>
      <c r="F28" s="571"/>
      <c r="G28" s="571"/>
      <c r="H28" s="431"/>
      <c r="I28" s="432"/>
      <c r="J28" s="433"/>
      <c r="K28" s="309" t="str">
        <f>IF(D8&lt;&gt;"",CONCATENATE("The Trustees, C/- ",D8),"The Trustees, C/- The Administrator")</f>
        <v>The Trustees, C/- The Administrator</v>
      </c>
    </row>
    <row r="29" spans="2:11" ht="15" customHeight="1" x14ac:dyDescent="0.25">
      <c r="B29" s="195"/>
      <c r="C29" s="196" t="s">
        <v>80</v>
      </c>
      <c r="D29" s="570"/>
      <c r="E29" s="571"/>
      <c r="F29" s="571"/>
      <c r="G29" s="572"/>
      <c r="H29" s="574" t="s">
        <v>296</v>
      </c>
      <c r="I29" s="575"/>
      <c r="J29" s="575"/>
      <c r="K29" s="309" t="str">
        <f>IF(D8&lt;&gt;"",D8,"The Administrator")</f>
        <v>The Administrator</v>
      </c>
    </row>
    <row r="30" spans="2:11" ht="15" customHeight="1" x14ac:dyDescent="0.25">
      <c r="B30" s="195"/>
      <c r="C30" s="196" t="s">
        <v>78</v>
      </c>
      <c r="D30" s="570"/>
      <c r="E30" s="571"/>
      <c r="F30" s="571"/>
      <c r="G30" s="572"/>
      <c r="H30" s="197"/>
      <c r="I30" s="435" t="s">
        <v>295</v>
      </c>
      <c r="J30" s="386"/>
      <c r="K30" s="309" t="s">
        <v>158</v>
      </c>
    </row>
    <row r="31" spans="2:11" ht="15" customHeight="1" x14ac:dyDescent="0.25">
      <c r="B31" s="195"/>
      <c r="C31" s="196" t="s">
        <v>77</v>
      </c>
      <c r="D31" s="570"/>
      <c r="E31" s="571"/>
      <c r="F31" s="571"/>
      <c r="G31" s="572"/>
      <c r="H31" s="197"/>
      <c r="I31" s="198" t="s">
        <v>205</v>
      </c>
      <c r="J31" s="386"/>
    </row>
    <row r="32" spans="2:11" ht="19.5" customHeight="1" x14ac:dyDescent="0.25"/>
    <row r="33" spans="2:16" ht="18" customHeight="1" x14ac:dyDescent="0.25">
      <c r="B33" s="467" t="s">
        <v>135</v>
      </c>
      <c r="C33" s="467"/>
      <c r="D33" s="467"/>
      <c r="E33" s="467"/>
      <c r="F33" s="467"/>
      <c r="G33" s="467"/>
      <c r="H33" s="467"/>
      <c r="I33" s="467"/>
      <c r="J33" s="467"/>
    </row>
    <row r="34" spans="2:16" ht="6" customHeight="1" x14ac:dyDescent="0.25"/>
    <row r="35" spans="2:16" ht="30" customHeight="1" x14ac:dyDescent="0.25">
      <c r="C35" s="199"/>
      <c r="D35" s="573" t="s">
        <v>23</v>
      </c>
      <c r="E35" s="573"/>
      <c r="F35" s="573"/>
      <c r="G35" s="573"/>
      <c r="H35" s="586" t="s">
        <v>177</v>
      </c>
      <c r="I35" s="587"/>
      <c r="J35" s="587"/>
    </row>
    <row r="36" spans="2:16" ht="18" customHeight="1" x14ac:dyDescent="0.25">
      <c r="B36" s="200"/>
      <c r="C36" s="201"/>
      <c r="D36" s="202" t="s">
        <v>0</v>
      </c>
      <c r="E36" s="202" t="s">
        <v>1</v>
      </c>
      <c r="F36" s="202" t="s">
        <v>2</v>
      </c>
      <c r="G36" s="202" t="s">
        <v>3</v>
      </c>
      <c r="H36" s="203"/>
      <c r="I36" s="204" t="s">
        <v>204</v>
      </c>
      <c r="J36" s="205"/>
    </row>
    <row r="37" spans="2:16" x14ac:dyDescent="0.25">
      <c r="B37" s="581" t="s">
        <v>25</v>
      </c>
      <c r="C37" s="582"/>
      <c r="D37" s="206"/>
      <c r="E37" s="206"/>
      <c r="F37" s="207"/>
      <c r="G37" s="207"/>
      <c r="H37" s="584" t="str">
        <f>IF(mname2="","",IF(mname3="",IF(AND(mdob1=mdob2,mdob1&lt;&gt;""),"Each member needs only one column. Multiple accounts of the same type should be treated as if they are combined.",""),IF(mname4="",IF(OR(mdob1=mdob2,mdob1=mdob3,mdob2=mdob3),"Each member needs one column only, Pension and Accumulation details can all go in the one column!",""),IF(OR(mdob1=mdob2,mdob1=mdob3,mdob1=mdob4,mdob2=mdob3,mdob2=mdob4,mdob3=mdob4),"Each member needs one column only, Pension and Accumulation details can all go in the one column!",""))))</f>
        <v/>
      </c>
      <c r="I37" s="585"/>
      <c r="J37" s="585"/>
    </row>
    <row r="38" spans="2:16" x14ac:dyDescent="0.25">
      <c r="B38" s="208"/>
      <c r="C38" s="209" t="s">
        <v>24</v>
      </c>
      <c r="D38" s="206"/>
      <c r="E38" s="206"/>
      <c r="F38" s="206"/>
      <c r="G38" s="206"/>
      <c r="H38" s="584"/>
      <c r="I38" s="585"/>
      <c r="J38" s="585"/>
    </row>
    <row r="39" spans="2:16" x14ac:dyDescent="0.25">
      <c r="B39" s="583" t="s">
        <v>206</v>
      </c>
      <c r="C39" s="583"/>
      <c r="D39" s="210"/>
      <c r="E39" s="210"/>
      <c r="F39" s="211"/>
      <c r="G39" s="211"/>
      <c r="H39" s="584"/>
      <c r="I39" s="585"/>
      <c r="J39" s="585"/>
    </row>
    <row r="40" spans="2:16" x14ac:dyDescent="0.25">
      <c r="B40" s="583" t="s">
        <v>162</v>
      </c>
      <c r="C40" s="583"/>
      <c r="D40" s="210"/>
      <c r="E40" s="210"/>
      <c r="F40" s="211"/>
      <c r="G40" s="211"/>
      <c r="H40" s="584"/>
      <c r="I40" s="585"/>
      <c r="J40" s="585"/>
    </row>
    <row r="41" spans="2:16" ht="19.5" customHeight="1" x14ac:dyDescent="0.25"/>
    <row r="42" spans="2:16" ht="18" customHeight="1" x14ac:dyDescent="0.25">
      <c r="B42" s="467" t="s">
        <v>173</v>
      </c>
      <c r="C42" s="467"/>
      <c r="D42" s="467"/>
      <c r="E42" s="467"/>
      <c r="F42" s="467"/>
      <c r="G42" s="467"/>
      <c r="H42" s="467"/>
      <c r="I42" s="467"/>
      <c r="J42" s="467"/>
      <c r="P42" s="308" t="s">
        <v>262</v>
      </c>
    </row>
    <row r="43" spans="2:16" ht="6" customHeight="1" x14ac:dyDescent="0.25">
      <c r="P43" s="308" t="s">
        <v>263</v>
      </c>
    </row>
    <row r="44" spans="2:16" ht="17.100000000000001" customHeight="1" x14ac:dyDescent="0.25">
      <c r="B44" s="212"/>
      <c r="C44" s="212"/>
      <c r="D44" s="212"/>
      <c r="E44" s="213" t="s">
        <v>181</v>
      </c>
      <c r="F44" s="214" t="s">
        <v>290</v>
      </c>
      <c r="G44" s="215"/>
      <c r="I44" s="216" t="s">
        <v>180</v>
      </c>
      <c r="K44" s="340">
        <f>IF(finyear&lt;&gt;"",DATE(LEFT(finyear,4),7,1),DATE(2020,7,1))</f>
        <v>45108</v>
      </c>
      <c r="L44" s="341">
        <f>IF(estdate&lt;&gt;"",IF(estdate&gt;yrstart,estdate,yrstart),yrstart)</f>
        <v>45108</v>
      </c>
      <c r="M44" s="341">
        <f>IF(finyear&lt;&gt;"",DATE(YEAR(K44)+1,6,30),DATE(2021,6,30))</f>
        <v>45473</v>
      </c>
      <c r="N44" s="341">
        <f>IF(windupdate&lt;&gt;"",IF(windupdate&lt;yrend,windupdate,yrend),yrend)</f>
        <v>45473</v>
      </c>
      <c r="P44" s="308" t="s">
        <v>264</v>
      </c>
    </row>
    <row r="45" spans="2:16" ht="14.25" customHeight="1" x14ac:dyDescent="0.25">
      <c r="B45" s="217"/>
      <c r="C45" s="217"/>
      <c r="D45" s="217"/>
      <c r="E45" s="218" t="str">
        <f>CONCATENATE("If the Fund was established/commenced during the ",finyear," year - it commenced on ")</f>
        <v xml:space="preserve">If the Fund was established/commenced during the 2023/24 year - it commenced on </v>
      </c>
      <c r="F45" s="219"/>
      <c r="I45" s="220" t="s">
        <v>204</v>
      </c>
      <c r="J45" s="212"/>
      <c r="K45" s="176">
        <f>YEAR(yrend)</f>
        <v>2024</v>
      </c>
      <c r="L45" s="341" t="str">
        <f>TEXT(start_year,"DD/MM/YYYY")</f>
        <v>01/07/2023</v>
      </c>
      <c r="M45" s="341" t="str">
        <f>TEXT(end_year,"DD/MM/YYYY")</f>
        <v>30/06/2024</v>
      </c>
      <c r="P45" s="308" t="s">
        <v>261</v>
      </c>
    </row>
    <row r="46" spans="2:16" ht="14.25" customHeight="1" x14ac:dyDescent="0.25">
      <c r="B46" s="217"/>
      <c r="C46" s="217"/>
      <c r="D46" s="217"/>
      <c r="E46" s="218" t="str">
        <f>CONCATENATE("If the Fund was wound up during the ",finyear," year - it ceased on ")</f>
        <v xml:space="preserve">If the Fund was wound up during the 2023/24 year - it ceased on </v>
      </c>
      <c r="F46" s="219"/>
      <c r="G46" s="469" t="str">
        <f>IF(I45="Yes","Do not include the values of segregated assets in this form.","")</f>
        <v/>
      </c>
      <c r="H46" s="469"/>
      <c r="I46" s="469"/>
      <c r="J46" s="469"/>
      <c r="P46" s="308" t="s">
        <v>265</v>
      </c>
    </row>
    <row r="47" spans="2:16" ht="24" customHeight="1" x14ac:dyDescent="0.25">
      <c r="B47" s="428"/>
      <c r="C47" s="428"/>
      <c r="D47" s="428"/>
      <c r="E47" s="428"/>
      <c r="F47" s="428"/>
      <c r="G47" s="428"/>
      <c r="H47" s="428"/>
      <c r="I47" s="428"/>
      <c r="J47" s="429"/>
      <c r="P47" s="308" t="s">
        <v>266</v>
      </c>
    </row>
    <row r="48" spans="2:16" ht="18" customHeight="1" x14ac:dyDescent="0.25">
      <c r="B48" s="580" t="s">
        <v>179</v>
      </c>
      <c r="C48" s="580"/>
      <c r="D48" s="580"/>
      <c r="E48" s="580"/>
      <c r="F48" s="580"/>
      <c r="G48" s="580"/>
      <c r="H48" s="580"/>
      <c r="I48" s="580"/>
      <c r="J48" s="580"/>
      <c r="P48" s="308" t="s">
        <v>267</v>
      </c>
    </row>
    <row r="49" spans="2:21" ht="24" customHeight="1" x14ac:dyDescent="0.25">
      <c r="P49" s="308" t="s">
        <v>268</v>
      </c>
    </row>
    <row r="50" spans="2:21" ht="21" customHeight="1" x14ac:dyDescent="0.25">
      <c r="B50" s="526" t="str">
        <f>CONCATENATE("Non-Retirement Phase Balances (Accumulation and non-Retirement Phase TRIS) at ",txtstdate)</f>
        <v>Non-Retirement Phase Balances (Accumulation and non-Retirement Phase TRIS) at 01/07/2023</v>
      </c>
      <c r="C50" s="526"/>
      <c r="D50" s="526"/>
      <c r="E50" s="526"/>
      <c r="F50" s="526"/>
      <c r="G50" s="526"/>
      <c r="H50" s="526"/>
      <c r="I50" s="526"/>
      <c r="J50" s="526"/>
      <c r="P50" s="308" t="s">
        <v>290</v>
      </c>
    </row>
    <row r="51" spans="2:21" ht="24" customHeight="1" x14ac:dyDescent="0.25">
      <c r="B51" s="222"/>
      <c r="C51" s="223"/>
      <c r="D51" s="225" t="str">
        <f>IF(D$37&lt;&gt;"",D$37,D$36)</f>
        <v>Member 1</v>
      </c>
      <c r="E51" s="225" t="str">
        <f>IF(E$37&lt;&gt;"",E$37,E$36)</f>
        <v>Member 2</v>
      </c>
      <c r="F51" s="225" t="str">
        <f>IF(F$37&lt;&gt;"",F$37,F$36)</f>
        <v>Member 3</v>
      </c>
      <c r="G51" s="225" t="str">
        <f>IF(G$37&lt;&gt;"",G$37,G$36)</f>
        <v>Member 4</v>
      </c>
      <c r="H51" s="225" t="s">
        <v>49</v>
      </c>
      <c r="I51" s="224"/>
      <c r="J51" s="224"/>
      <c r="P51" s="308" t="s">
        <v>291</v>
      </c>
    </row>
    <row r="52" spans="2:21" x14ac:dyDescent="0.25">
      <c r="B52" s="528" t="str">
        <f>CONCATENATE("Non-Retirement Phase Balances at ",txtstdate," ")</f>
        <v xml:space="preserve">Non-Retirement Phase Balances at 01/07/2023 </v>
      </c>
      <c r="C52" s="528"/>
      <c r="D52" s="226"/>
      <c r="E52" s="226"/>
      <c r="F52" s="226"/>
      <c r="G52" s="226"/>
      <c r="H52" s="226"/>
      <c r="P52" s="308" t="s">
        <v>292</v>
      </c>
    </row>
    <row r="53" spans="2:21" ht="24" customHeight="1" x14ac:dyDescent="0.25">
      <c r="P53" s="308" t="s">
        <v>293</v>
      </c>
    </row>
    <row r="54" spans="2:21" ht="21" customHeight="1" x14ac:dyDescent="0.25">
      <c r="B54" s="526" t="str">
        <f>CONCATENATE("Retirement Phase Balances (Pensions and Retirement Phase TRIS) started on or before ",txtstdate)</f>
        <v>Retirement Phase Balances (Pensions and Retirement Phase TRIS) started on or before 01/07/2023</v>
      </c>
      <c r="C54" s="526"/>
      <c r="D54" s="526"/>
      <c r="E54" s="526"/>
      <c r="F54" s="526"/>
      <c r="G54" s="526"/>
      <c r="H54" s="526"/>
      <c r="I54" s="526"/>
      <c r="J54" s="526"/>
    </row>
    <row r="55" spans="2:21" ht="24" customHeight="1" x14ac:dyDescent="0.25">
      <c r="B55" s="530"/>
      <c r="C55" s="530"/>
      <c r="D55" s="225" t="str">
        <f>IF(D$37&lt;&gt;"",D$37,D$36)</f>
        <v>Member 1</v>
      </c>
      <c r="E55" s="225" t="str">
        <f>IF(E$37&lt;&gt;"",E$37,E$36)</f>
        <v>Member 2</v>
      </c>
      <c r="F55" s="225" t="str">
        <f>IF(F$37&lt;&gt;"",F$37,F$36)</f>
        <v>Member 3</v>
      </c>
      <c r="G55" s="225" t="str">
        <f>IF(G$37&lt;&gt;"",G$37,G$36)</f>
        <v>Member 4</v>
      </c>
      <c r="H55" s="227"/>
      <c r="J55" s="527" t="str">
        <f>CONCATENATE("Fund Balance at ",txtstdate," ")</f>
        <v xml:space="preserve">Fund Balance at 01/07/2023 </v>
      </c>
      <c r="K55" s="309"/>
      <c r="L55" s="309"/>
      <c r="M55" s="309" t="s">
        <v>160</v>
      </c>
      <c r="N55" s="309"/>
      <c r="O55" s="309"/>
      <c r="P55" s="309"/>
      <c r="Q55" s="309"/>
      <c r="R55" s="309"/>
      <c r="S55" s="310"/>
      <c r="T55" s="310"/>
      <c r="U55" s="310"/>
    </row>
    <row r="56" spans="2:21" x14ac:dyDescent="0.25">
      <c r="B56" s="538" t="str">
        <f>CONCATENATE("Retirement Phase Balances at ",txtstdate," ")</f>
        <v xml:space="preserve">Retirement Phase Balances at 01/07/2023 </v>
      </c>
      <c r="C56" s="538"/>
      <c r="D56" s="228"/>
      <c r="E56" s="228"/>
      <c r="F56" s="228"/>
      <c r="G56" s="228"/>
      <c r="H56" s="229"/>
      <c r="I56" s="230"/>
      <c r="J56" s="527"/>
      <c r="K56" s="309"/>
      <c r="L56" s="309"/>
      <c r="M56" s="309" t="str">
        <f>IF(SUM(D56:G56,T60)=0,"NONE","")</f>
        <v>NONE</v>
      </c>
      <c r="N56" s="309"/>
      <c r="O56" s="309"/>
      <c r="P56" s="309"/>
      <c r="Q56" s="309"/>
      <c r="R56" s="309"/>
      <c r="S56" s="310"/>
      <c r="T56" s="310"/>
      <c r="U56" s="310"/>
    </row>
    <row r="57" spans="2:21" ht="18" customHeight="1" x14ac:dyDescent="0.25">
      <c r="B57" s="529" t="str">
        <f>CONCATENATE("Total Member Balances at ",txtstdate," ")</f>
        <v xml:space="preserve">Total Member Balances at 01/07/2023 </v>
      </c>
      <c r="C57" s="529"/>
      <c r="D57" s="231">
        <f>m1accum+m1pens</f>
        <v>0</v>
      </c>
      <c r="E57" s="231">
        <f>m2accum+m2pens</f>
        <v>0</v>
      </c>
      <c r="F57" s="231">
        <f>m3accum+m3pens</f>
        <v>0</v>
      </c>
      <c r="G57" s="231">
        <f>m4accum+m4pens</f>
        <v>0</v>
      </c>
      <c r="H57" s="231">
        <f>res</f>
        <v>0</v>
      </c>
      <c r="I57" s="232"/>
      <c r="J57" s="231">
        <f>SUM(D57:H57)</f>
        <v>0</v>
      </c>
      <c r="K57" s="309"/>
      <c r="L57" s="309"/>
      <c r="M57" s="309"/>
      <c r="N57" s="309"/>
      <c r="O57" s="309"/>
      <c r="P57" s="309"/>
      <c r="Q57" s="309"/>
      <c r="R57" s="309"/>
      <c r="S57" s="310"/>
      <c r="T57" s="310"/>
      <c r="U57" s="310"/>
    </row>
    <row r="58" spans="2:21" ht="24" customHeight="1" x14ac:dyDescent="0.25">
      <c r="K58" s="309"/>
      <c r="L58" s="309"/>
      <c r="M58" s="309"/>
      <c r="N58" s="309"/>
      <c r="O58" s="309"/>
      <c r="P58" s="309"/>
      <c r="Q58" s="309"/>
      <c r="R58" s="309"/>
      <c r="S58" s="310"/>
      <c r="T58" s="310"/>
      <c r="U58" s="310"/>
    </row>
    <row r="59" spans="2:21" ht="18" customHeight="1" x14ac:dyDescent="0.25">
      <c r="B59" s="467" t="s">
        <v>283</v>
      </c>
      <c r="C59" s="467"/>
      <c r="D59" s="467"/>
      <c r="E59" s="467"/>
      <c r="F59" s="467"/>
      <c r="G59" s="467"/>
      <c r="H59" s="467"/>
      <c r="I59" s="467"/>
      <c r="J59" s="467"/>
      <c r="K59" s="309"/>
      <c r="L59" s="309"/>
      <c r="M59" s="309"/>
      <c r="N59" s="309"/>
      <c r="O59" s="309"/>
      <c r="P59" s="309"/>
      <c r="Q59" s="309"/>
      <c r="R59" s="309"/>
      <c r="S59" s="310"/>
      <c r="T59" s="310"/>
      <c r="U59" s="310"/>
    </row>
    <row r="60" spans="2:21" ht="13.5" customHeight="1" x14ac:dyDescent="0.25">
      <c r="B60" s="233"/>
      <c r="C60" s="233"/>
      <c r="D60" s="233"/>
      <c r="E60" s="233"/>
      <c r="F60" s="233"/>
      <c r="G60" s="233"/>
      <c r="H60" s="576" t="s">
        <v>56</v>
      </c>
      <c r="I60" s="576"/>
      <c r="J60" s="576" t="s">
        <v>136</v>
      </c>
      <c r="K60" s="309"/>
      <c r="L60" s="309"/>
      <c r="M60" s="309"/>
      <c r="N60" s="309"/>
      <c r="O60" s="309"/>
      <c r="P60" s="309"/>
      <c r="Q60" s="309"/>
      <c r="R60" s="309"/>
      <c r="S60" s="310"/>
      <c r="T60" s="311">
        <f>SUM(T62:T71)</f>
        <v>0</v>
      </c>
      <c r="U60" s="310" t="s">
        <v>166</v>
      </c>
    </row>
    <row r="61" spans="2:21" ht="13.5" customHeight="1" x14ac:dyDescent="0.25">
      <c r="B61" s="578" t="s">
        <v>54</v>
      </c>
      <c r="C61" s="578"/>
      <c r="D61" s="234" t="s">
        <v>55</v>
      </c>
      <c r="E61" s="234" t="s">
        <v>52</v>
      </c>
      <c r="F61" s="234" t="s">
        <v>53</v>
      </c>
      <c r="G61" s="234" t="s">
        <v>50</v>
      </c>
      <c r="H61" s="577"/>
      <c r="I61" s="577"/>
      <c r="J61" s="577"/>
      <c r="K61" s="390" t="s">
        <v>62</v>
      </c>
      <c r="L61" s="391" t="s">
        <v>137</v>
      </c>
      <c r="M61" s="392" t="s">
        <v>138</v>
      </c>
      <c r="N61" s="392" t="s">
        <v>139</v>
      </c>
      <c r="O61" s="392"/>
      <c r="P61" s="392" t="s">
        <v>140</v>
      </c>
      <c r="Q61" s="392"/>
      <c r="R61" s="392" t="s">
        <v>164</v>
      </c>
      <c r="S61" s="393" t="s">
        <v>142</v>
      </c>
      <c r="T61" s="392" t="s">
        <v>161</v>
      </c>
      <c r="U61" s="392" t="s">
        <v>167</v>
      </c>
    </row>
    <row r="62" spans="2:21" ht="13.5" customHeight="1" x14ac:dyDescent="0.25">
      <c r="B62" s="531"/>
      <c r="C62" s="532"/>
      <c r="D62" s="235"/>
      <c r="E62" s="415"/>
      <c r="F62" s="236"/>
      <c r="G62" s="237"/>
      <c r="H62" s="579"/>
      <c r="I62" s="534"/>
      <c r="J62" s="237"/>
      <c r="K62" s="311">
        <f>IF(OR(AND(H62="No",J62&lt;1),AND(L62&gt;0,L62&lt;6),SUM(M62:R62)&gt;0),1,0)</f>
        <v>0</v>
      </c>
      <c r="L62" s="312">
        <f>COUNTBLANK(B62)+COUNTBLANK(D62:G62)+COUNTBLANK(H62)</f>
        <v>6</v>
      </c>
      <c r="M62" s="312">
        <f>IF(LEFT(B62,8)="Commence",IF(AND(RIGHT(F62,5)="Phase",RIGHT(E62,6)="Non-RP",MID(E62,4,1)=MID(F62,4,1)),0,1),0)</f>
        <v>0</v>
      </c>
      <c r="N62" s="312">
        <f>IF(LEFT(B62,7)="Commute",IF(AND(RIGHT(E62,5)="Phase",RIGHT(F62,6)="Non-RP",MID(E62,4,1)=MID(F62,4,1)),0,1),0)</f>
        <v>0</v>
      </c>
      <c r="O62" s="312"/>
      <c r="P62" s="312">
        <f>IF(LEFT(B62,5)="Alloc",IF(AND(OR(LEFT(E62,3)="Res",LEFT(F62,3)="Res"),E62&lt;&gt;F62),0,1),0)</f>
        <v>0</v>
      </c>
      <c r="Q62" s="312"/>
      <c r="R62" s="312">
        <f>IF(LEFT(B62,10)="Retirement",IF(AND(RIGHT(F62,5)="Phase",RIGHT(E62,5)="Phase",MID(E62,4,1)&lt;&gt;MID(F62,4,1)),0,1),0)</f>
        <v>0</v>
      </c>
      <c r="S62" s="313" t="str">
        <f>IF(H62&lt;&gt;"",IF(H62="Yes",1,(G62/SUM(G62,J62))),"")</f>
        <v/>
      </c>
      <c r="T62" s="313">
        <f>IF(LEFT(B62,8)="Commence",1,0)</f>
        <v>0</v>
      </c>
      <c r="U62" s="313" t="str">
        <f t="shared" ref="U62:U63" si="0">IF(L62&lt;1,IF(OR(RIGHT(E62,2)="RP",RIGHT(F62,2)="RP",RIGHT(E62,2)="nt",RIGHT(F62,2)="nt"),1,IF(MID(E62,4,1)=MID(F62,4,1),IF(OR(LEFT(B62,10)="Retirement",LEFT(B62,10)="Allocation"),1,0),IF(OR(LEFT(B62,10)="Retirement",LEFT(B62,10)="Allocation"),0,1))),"")</f>
        <v/>
      </c>
    </row>
    <row r="63" spans="2:21" ht="13.5" customHeight="1" x14ac:dyDescent="0.25">
      <c r="B63" s="531"/>
      <c r="C63" s="532"/>
      <c r="D63" s="235"/>
      <c r="E63" s="415"/>
      <c r="F63" s="236"/>
      <c r="G63" s="237"/>
      <c r="H63" s="533"/>
      <c r="I63" s="534"/>
      <c r="J63" s="237"/>
      <c r="K63" s="311">
        <f t="shared" ref="K63:K71" si="1">IF(OR(AND(H63="No",J63&lt;1),AND(L63&gt;0,L63&lt;6),SUM(M63:R63)&gt;0),1,0)</f>
        <v>0</v>
      </c>
      <c r="L63" s="312">
        <f t="shared" ref="L63:L71" si="2">COUNTBLANK(B63)+COUNTBLANK(D63:G63)+COUNTBLANK(H63)</f>
        <v>6</v>
      </c>
      <c r="M63" s="312">
        <f t="shared" ref="M63:M71" si="3">IF(LEFT(B63,8)="Commence",IF(AND(RIGHT(F63,5)="Phase",RIGHT(E63,6)="Non-RP",MID(E63,4,1)=MID(F63,4,1)),0,1),0)</f>
        <v>0</v>
      </c>
      <c r="N63" s="312">
        <f t="shared" ref="N63:N71" si="4">IF(LEFT(B63,7)="Commute",IF(AND(RIGHT(E63,5)="Phase",RIGHT(F63,6)="Non-RP",MID(E63,4,1)=MID(F63,4,1)),0,1),0)</f>
        <v>0</v>
      </c>
      <c r="O63" s="312"/>
      <c r="P63" s="312">
        <f t="shared" ref="P63:P71" si="5">IF(LEFT(B63,5)="Alloc",IF(AND(OR(LEFT(E63,3)="Res",LEFT(F63,3)="Res"),E63&lt;&gt;F63),0,1),0)</f>
        <v>0</v>
      </c>
      <c r="Q63" s="312"/>
      <c r="R63" s="312">
        <f t="shared" ref="R63:R71" si="6">IF(LEFT(B63,10)="Retirement",IF(AND(RIGHT(F63,5)="Phase",RIGHT(E63,5)="Phase",MID(E63,4,1)&lt;&gt;MID(F63,4,1)),0,1),0)</f>
        <v>0</v>
      </c>
      <c r="S63" s="313" t="str">
        <f t="shared" ref="S63:S71" si="7">IF(H63&lt;&gt;"",IF(H63="Yes",1,(G63/SUM(G63,J63))),"")</f>
        <v/>
      </c>
      <c r="T63" s="313">
        <f t="shared" ref="T63:T71" si="8">IF(LEFT(B63,8)="Commence",1,0)</f>
        <v>0</v>
      </c>
      <c r="U63" s="313" t="str">
        <f t="shared" si="0"/>
        <v/>
      </c>
    </row>
    <row r="64" spans="2:21" ht="13.5" customHeight="1" x14ac:dyDescent="0.25">
      <c r="B64" s="531"/>
      <c r="C64" s="532"/>
      <c r="D64" s="235"/>
      <c r="E64" s="236"/>
      <c r="F64" s="236"/>
      <c r="G64" s="237"/>
      <c r="H64" s="533"/>
      <c r="I64" s="534"/>
      <c r="J64" s="237"/>
      <c r="K64" s="311">
        <f t="shared" si="1"/>
        <v>0</v>
      </c>
      <c r="L64" s="312">
        <f t="shared" si="2"/>
        <v>6</v>
      </c>
      <c r="M64" s="312">
        <f t="shared" si="3"/>
        <v>0</v>
      </c>
      <c r="N64" s="312">
        <f t="shared" si="4"/>
        <v>0</v>
      </c>
      <c r="O64" s="312"/>
      <c r="P64" s="312">
        <f t="shared" si="5"/>
        <v>0</v>
      </c>
      <c r="Q64" s="312"/>
      <c r="R64" s="312">
        <f t="shared" si="6"/>
        <v>0</v>
      </c>
      <c r="S64" s="313" t="str">
        <f t="shared" si="7"/>
        <v/>
      </c>
      <c r="T64" s="313">
        <f t="shared" si="8"/>
        <v>0</v>
      </c>
      <c r="U64" s="313" t="str">
        <f>IF(L64&lt;1,IF(OR(RIGHT(E64,2)="RP",RIGHT(F64,2)="RP",RIGHT(E64,2)="nt",RIGHT(F64,2)="nt"),1,IF(MID(E64,4,1)=MID(F64,4,1),IF(OR(LEFT(B64,10)="Retirement",LEFT(B64,10)="Allocation"),1,0),IF(OR(LEFT(B64,10)="Retirement",LEFT(B64,10)="Allocation"),0,1))),"")</f>
        <v/>
      </c>
    </row>
    <row r="65" spans="2:21" ht="13.5" customHeight="1" x14ac:dyDescent="0.25">
      <c r="B65" s="531"/>
      <c r="C65" s="532"/>
      <c r="D65" s="235"/>
      <c r="E65" s="236"/>
      <c r="F65" s="236"/>
      <c r="G65" s="237"/>
      <c r="H65" s="533"/>
      <c r="I65" s="534"/>
      <c r="J65" s="237"/>
      <c r="K65" s="311">
        <f t="shared" si="1"/>
        <v>0</v>
      </c>
      <c r="L65" s="312">
        <f t="shared" si="2"/>
        <v>6</v>
      </c>
      <c r="M65" s="312">
        <f t="shared" si="3"/>
        <v>0</v>
      </c>
      <c r="N65" s="312">
        <f t="shared" si="4"/>
        <v>0</v>
      </c>
      <c r="O65" s="312"/>
      <c r="P65" s="312">
        <f t="shared" si="5"/>
        <v>0</v>
      </c>
      <c r="Q65" s="312"/>
      <c r="R65" s="312">
        <f t="shared" si="6"/>
        <v>0</v>
      </c>
      <c r="S65" s="313" t="str">
        <f t="shared" si="7"/>
        <v/>
      </c>
      <c r="T65" s="313">
        <f t="shared" si="8"/>
        <v>0</v>
      </c>
      <c r="U65" s="313" t="str">
        <f t="shared" ref="U65:U71" si="9">IF(L65&lt;1,IF(OR(RIGHT(E65,2)="RP",RIGHT(F65,2)="RP",RIGHT(E65,2)="nt",RIGHT(F65,2)="nt"),1,IF(MID(E65,4,1)=MID(F65,4,1),IF(OR(LEFT(B65,10)="Retirement",LEFT(B65,10)="Allocation"),1,0),IF(OR(LEFT(B65,10)="Retirement",LEFT(B65,10)="Allocation"),0,1))),"")</f>
        <v/>
      </c>
    </row>
    <row r="66" spans="2:21" ht="13.5" customHeight="1" x14ac:dyDescent="0.25">
      <c r="B66" s="531"/>
      <c r="C66" s="532"/>
      <c r="D66" s="235"/>
      <c r="E66" s="236"/>
      <c r="F66" s="236"/>
      <c r="G66" s="237"/>
      <c r="H66" s="533"/>
      <c r="I66" s="534"/>
      <c r="J66" s="237"/>
      <c r="K66" s="311">
        <f t="shared" si="1"/>
        <v>0</v>
      </c>
      <c r="L66" s="312">
        <f t="shared" si="2"/>
        <v>6</v>
      </c>
      <c r="M66" s="312">
        <f t="shared" si="3"/>
        <v>0</v>
      </c>
      <c r="N66" s="312">
        <f t="shared" si="4"/>
        <v>0</v>
      </c>
      <c r="O66" s="312"/>
      <c r="P66" s="312">
        <f t="shared" si="5"/>
        <v>0</v>
      </c>
      <c r="Q66" s="312"/>
      <c r="R66" s="312">
        <f t="shared" si="6"/>
        <v>0</v>
      </c>
      <c r="S66" s="313" t="str">
        <f t="shared" si="7"/>
        <v/>
      </c>
      <c r="T66" s="313">
        <f t="shared" si="8"/>
        <v>0</v>
      </c>
      <c r="U66" s="313" t="str">
        <f t="shared" si="9"/>
        <v/>
      </c>
    </row>
    <row r="67" spans="2:21" ht="13.5" customHeight="1" x14ac:dyDescent="0.25">
      <c r="B67" s="531"/>
      <c r="C67" s="532"/>
      <c r="D67" s="235"/>
      <c r="E67" s="236"/>
      <c r="F67" s="236"/>
      <c r="G67" s="237"/>
      <c r="H67" s="533"/>
      <c r="I67" s="534"/>
      <c r="J67" s="237"/>
      <c r="K67" s="311">
        <f t="shared" si="1"/>
        <v>0</v>
      </c>
      <c r="L67" s="312">
        <f t="shared" si="2"/>
        <v>6</v>
      </c>
      <c r="M67" s="312">
        <f t="shared" si="3"/>
        <v>0</v>
      </c>
      <c r="N67" s="312">
        <f t="shared" si="4"/>
        <v>0</v>
      </c>
      <c r="O67" s="312"/>
      <c r="P67" s="312">
        <f t="shared" si="5"/>
        <v>0</v>
      </c>
      <c r="Q67" s="312"/>
      <c r="R67" s="312">
        <f t="shared" si="6"/>
        <v>0</v>
      </c>
      <c r="S67" s="313" t="str">
        <f t="shared" si="7"/>
        <v/>
      </c>
      <c r="T67" s="313">
        <f t="shared" si="8"/>
        <v>0</v>
      </c>
      <c r="U67" s="313" t="str">
        <f t="shared" si="9"/>
        <v/>
      </c>
    </row>
    <row r="68" spans="2:21" ht="13.5" customHeight="1" x14ac:dyDescent="0.25">
      <c r="B68" s="531"/>
      <c r="C68" s="532"/>
      <c r="D68" s="236"/>
      <c r="E68" s="236"/>
      <c r="F68" s="236"/>
      <c r="G68" s="237"/>
      <c r="H68" s="533"/>
      <c r="I68" s="534"/>
      <c r="J68" s="237"/>
      <c r="K68" s="311">
        <f t="shared" si="1"/>
        <v>0</v>
      </c>
      <c r="L68" s="312">
        <f t="shared" si="2"/>
        <v>6</v>
      </c>
      <c r="M68" s="312">
        <f t="shared" si="3"/>
        <v>0</v>
      </c>
      <c r="N68" s="312">
        <f t="shared" si="4"/>
        <v>0</v>
      </c>
      <c r="O68" s="312"/>
      <c r="P68" s="312">
        <f t="shared" si="5"/>
        <v>0</v>
      </c>
      <c r="Q68" s="312"/>
      <c r="R68" s="312">
        <f t="shared" si="6"/>
        <v>0</v>
      </c>
      <c r="S68" s="313" t="str">
        <f t="shared" si="7"/>
        <v/>
      </c>
      <c r="T68" s="313">
        <f t="shared" si="8"/>
        <v>0</v>
      </c>
      <c r="U68" s="313" t="str">
        <f t="shared" si="9"/>
        <v/>
      </c>
    </row>
    <row r="69" spans="2:21" ht="13.5" customHeight="1" x14ac:dyDescent="0.25">
      <c r="B69" s="531"/>
      <c r="C69" s="532"/>
      <c r="D69" s="236"/>
      <c r="E69" s="236"/>
      <c r="F69" s="236"/>
      <c r="G69" s="237"/>
      <c r="H69" s="533"/>
      <c r="I69" s="534"/>
      <c r="J69" s="237"/>
      <c r="K69" s="311">
        <f t="shared" si="1"/>
        <v>0</v>
      </c>
      <c r="L69" s="312">
        <f t="shared" si="2"/>
        <v>6</v>
      </c>
      <c r="M69" s="312">
        <f t="shared" si="3"/>
        <v>0</v>
      </c>
      <c r="N69" s="312">
        <f t="shared" si="4"/>
        <v>0</v>
      </c>
      <c r="O69" s="312"/>
      <c r="P69" s="312">
        <f t="shared" si="5"/>
        <v>0</v>
      </c>
      <c r="Q69" s="312"/>
      <c r="R69" s="312">
        <f t="shared" si="6"/>
        <v>0</v>
      </c>
      <c r="S69" s="313" t="str">
        <f t="shared" si="7"/>
        <v/>
      </c>
      <c r="T69" s="313">
        <f t="shared" si="8"/>
        <v>0</v>
      </c>
      <c r="U69" s="313" t="str">
        <f t="shared" si="9"/>
        <v/>
      </c>
    </row>
    <row r="70" spans="2:21" ht="13.5" customHeight="1" x14ac:dyDescent="0.25">
      <c r="B70" s="531"/>
      <c r="C70" s="532"/>
      <c r="D70" s="236"/>
      <c r="E70" s="236"/>
      <c r="F70" s="236"/>
      <c r="G70" s="237"/>
      <c r="H70" s="537"/>
      <c r="I70" s="534"/>
      <c r="J70" s="237"/>
      <c r="K70" s="311">
        <f t="shared" si="1"/>
        <v>0</v>
      </c>
      <c r="L70" s="312">
        <f t="shared" si="2"/>
        <v>6</v>
      </c>
      <c r="M70" s="312">
        <f t="shared" si="3"/>
        <v>0</v>
      </c>
      <c r="N70" s="312">
        <f t="shared" si="4"/>
        <v>0</v>
      </c>
      <c r="O70" s="312"/>
      <c r="P70" s="312">
        <f t="shared" si="5"/>
        <v>0</v>
      </c>
      <c r="Q70" s="312"/>
      <c r="R70" s="312">
        <f t="shared" si="6"/>
        <v>0</v>
      </c>
      <c r="S70" s="313" t="str">
        <f t="shared" si="7"/>
        <v/>
      </c>
      <c r="T70" s="313">
        <f t="shared" si="8"/>
        <v>0</v>
      </c>
      <c r="U70" s="313" t="str">
        <f t="shared" si="9"/>
        <v/>
      </c>
    </row>
    <row r="71" spans="2:21" ht="13.5" customHeight="1" x14ac:dyDescent="0.25">
      <c r="B71" s="531"/>
      <c r="C71" s="532"/>
      <c r="D71" s="235"/>
      <c r="E71" s="236"/>
      <c r="F71" s="236"/>
      <c r="G71" s="237"/>
      <c r="H71" s="533"/>
      <c r="I71" s="534"/>
      <c r="J71" s="237"/>
      <c r="K71" s="311">
        <f t="shared" si="1"/>
        <v>0</v>
      </c>
      <c r="L71" s="312">
        <f t="shared" si="2"/>
        <v>6</v>
      </c>
      <c r="M71" s="312">
        <f t="shared" si="3"/>
        <v>0</v>
      </c>
      <c r="N71" s="312">
        <f t="shared" si="4"/>
        <v>0</v>
      </c>
      <c r="O71" s="312"/>
      <c r="P71" s="312">
        <f t="shared" si="5"/>
        <v>0</v>
      </c>
      <c r="Q71" s="312"/>
      <c r="R71" s="312">
        <f t="shared" si="6"/>
        <v>0</v>
      </c>
      <c r="S71" s="313" t="str">
        <f t="shared" si="7"/>
        <v/>
      </c>
      <c r="T71" s="313">
        <f t="shared" si="8"/>
        <v>0</v>
      </c>
      <c r="U71" s="313" t="str">
        <f t="shared" si="9"/>
        <v/>
      </c>
    </row>
    <row r="72" spans="2:21" ht="15.2" hidden="1" customHeight="1" x14ac:dyDescent="0.25">
      <c r="B72" s="535" t="s">
        <v>269</v>
      </c>
      <c r="C72" s="535"/>
      <c r="E72" s="423" t="s">
        <v>274</v>
      </c>
      <c r="F72" s="423" t="s">
        <v>274</v>
      </c>
    </row>
    <row r="73" spans="2:21" ht="15.2" hidden="1" customHeight="1" x14ac:dyDescent="0.25">
      <c r="B73" s="536" t="s">
        <v>270</v>
      </c>
      <c r="C73" s="536"/>
      <c r="E73" s="423" t="s">
        <v>275</v>
      </c>
      <c r="F73" s="423" t="s">
        <v>275</v>
      </c>
    </row>
    <row r="74" spans="2:21" ht="15.2" hidden="1" customHeight="1" x14ac:dyDescent="0.25">
      <c r="B74" s="536" t="s">
        <v>271</v>
      </c>
      <c r="C74" s="536"/>
      <c r="E74" s="423" t="s">
        <v>276</v>
      </c>
      <c r="F74" s="423" t="s">
        <v>276</v>
      </c>
    </row>
    <row r="75" spans="2:21" ht="15.2" hidden="1" customHeight="1" x14ac:dyDescent="0.25">
      <c r="B75" s="536" t="s">
        <v>272</v>
      </c>
      <c r="C75" s="536"/>
      <c r="E75" s="423" t="s">
        <v>277</v>
      </c>
      <c r="F75" s="423" t="s">
        <v>277</v>
      </c>
    </row>
    <row r="76" spans="2:21" ht="15.2" hidden="1" customHeight="1" x14ac:dyDescent="0.25">
      <c r="B76" s="536" t="s">
        <v>273</v>
      </c>
      <c r="C76" s="536"/>
      <c r="E76" s="423" t="s">
        <v>278</v>
      </c>
      <c r="F76" s="423" t="s">
        <v>278</v>
      </c>
    </row>
    <row r="77" spans="2:21" ht="15.2" hidden="1" customHeight="1" x14ac:dyDescent="0.25">
      <c r="E77" s="423" t="s">
        <v>279</v>
      </c>
      <c r="F77" s="423" t="s">
        <v>279</v>
      </c>
    </row>
    <row r="78" spans="2:21" ht="15.2" hidden="1" customHeight="1" x14ac:dyDescent="0.25">
      <c r="E78" s="423" t="s">
        <v>280</v>
      </c>
      <c r="F78" s="423" t="s">
        <v>280</v>
      </c>
    </row>
    <row r="79" spans="2:21" ht="15.2" hidden="1" customHeight="1" x14ac:dyDescent="0.25">
      <c r="E79" s="423" t="s">
        <v>281</v>
      </c>
      <c r="F79" s="423" t="s">
        <v>281</v>
      </c>
    </row>
    <row r="80" spans="2:21" ht="15.2" hidden="1" customHeight="1" x14ac:dyDescent="0.25">
      <c r="E80" s="423" t="s">
        <v>282</v>
      </c>
      <c r="F80" s="423" t="s">
        <v>282</v>
      </c>
    </row>
    <row r="81" spans="2:10" ht="12.75" customHeight="1" x14ac:dyDescent="0.25"/>
    <row r="82" spans="2:10" ht="18" customHeight="1" x14ac:dyDescent="0.25">
      <c r="B82" s="467" t="s">
        <v>182</v>
      </c>
      <c r="C82" s="467"/>
      <c r="D82" s="467"/>
      <c r="E82" s="467"/>
      <c r="F82" s="467"/>
      <c r="G82" s="467"/>
      <c r="H82" s="467"/>
      <c r="I82" s="467"/>
      <c r="J82" s="467"/>
    </row>
    <row r="83" spans="2:10" ht="5.25" customHeight="1" x14ac:dyDescent="0.25"/>
    <row r="84" spans="2:10" ht="18" customHeight="1" x14ac:dyDescent="0.25">
      <c r="B84" s="502" t="str">
        <f>CONCATENATE("FUND BALANCE AT ",txtstdate)</f>
        <v>FUND BALANCE AT 01/07/2023</v>
      </c>
      <c r="C84" s="503"/>
      <c r="D84" s="503"/>
      <c r="E84" s="503"/>
      <c r="F84" s="503"/>
      <c r="G84" s="504"/>
      <c r="H84" s="238">
        <f>J57</f>
        <v>0</v>
      </c>
      <c r="J84" s="239" t="s">
        <v>73</v>
      </c>
    </row>
    <row r="85" spans="2:10" ht="18" customHeight="1" x14ac:dyDescent="0.25">
      <c r="B85" s="505"/>
      <c r="C85" s="506"/>
      <c r="D85" s="240" t="str">
        <f>IF(D$37&lt;&gt;"",D$37,D$36)</f>
        <v>Member 1</v>
      </c>
      <c r="E85" s="241" t="str">
        <f>IF(E$37&lt;&gt;"",E$37,E$36)</f>
        <v>Member 2</v>
      </c>
      <c r="F85" s="241" t="str">
        <f>IF(F$37&lt;&gt;"",F$37,F$36)</f>
        <v>Member 3</v>
      </c>
      <c r="G85" s="241" t="str">
        <f>IF(G$37&lt;&gt;"",G$37,G$36)</f>
        <v>Member 4</v>
      </c>
      <c r="H85" s="242" t="s">
        <v>6</v>
      </c>
      <c r="J85" s="243" t="s">
        <v>74</v>
      </c>
    </row>
    <row r="86" spans="2:10" ht="18" customHeight="1" x14ac:dyDescent="0.25">
      <c r="B86" s="507" t="s">
        <v>202</v>
      </c>
      <c r="C86" s="507"/>
      <c r="D86" s="244"/>
      <c r="E86" s="245"/>
      <c r="F86" s="245"/>
      <c r="G86" s="245"/>
      <c r="H86" s="238">
        <f>SUM(D86:G86)</f>
        <v>0</v>
      </c>
      <c r="J86" s="246"/>
    </row>
    <row r="87" spans="2:10" ht="18" customHeight="1" x14ac:dyDescent="0.25">
      <c r="B87" s="507" t="s">
        <v>203</v>
      </c>
      <c r="C87" s="507"/>
      <c r="D87" s="245"/>
      <c r="E87" s="245"/>
      <c r="F87" s="245"/>
      <c r="G87" s="245"/>
      <c r="H87" s="238">
        <f>SUM(D87:G87)</f>
        <v>0</v>
      </c>
      <c r="J87" s="247" t="s">
        <v>75</v>
      </c>
    </row>
    <row r="88" spans="2:10" ht="18" customHeight="1" x14ac:dyDescent="0.25">
      <c r="B88" s="508" t="s">
        <v>284</v>
      </c>
      <c r="C88" s="508"/>
      <c r="D88" s="245"/>
      <c r="E88" s="245"/>
      <c r="F88" s="245"/>
      <c r="G88" s="245"/>
      <c r="H88" s="238">
        <f>SUM(D88:G88)</f>
        <v>0</v>
      </c>
      <c r="J88" s="248" t="s">
        <v>76</v>
      </c>
    </row>
    <row r="89" spans="2:10" ht="18" customHeight="1" x14ac:dyDescent="0.25">
      <c r="B89" s="518" t="str">
        <f>CONCATENATE("FUND BALANCE AT ",txtenddate," (BEFORE INVESTMENT INCOME AND INCOME TAX)")</f>
        <v>FUND BALANCE AT 30/06/2024 (BEFORE INVESTMENT INCOME AND INCOME TAX)</v>
      </c>
      <c r="C89" s="519"/>
      <c r="D89" s="519"/>
      <c r="E89" s="519"/>
      <c r="F89" s="519"/>
      <c r="G89" s="520"/>
      <c r="H89" s="238">
        <f>SUM(H84,H86:H87)-H88</f>
        <v>0</v>
      </c>
      <c r="J89" s="249">
        <f>H89+J86</f>
        <v>0</v>
      </c>
    </row>
    <row r="90" spans="2:10" ht="4.5" customHeight="1" x14ac:dyDescent="0.25"/>
    <row r="91" spans="2:10" ht="21" customHeight="1" x14ac:dyDescent="0.25">
      <c r="B91" s="521" t="s">
        <v>195</v>
      </c>
      <c r="C91" s="521"/>
      <c r="D91" s="521"/>
      <c r="E91" s="521"/>
      <c r="F91" s="521"/>
      <c r="G91" s="521"/>
      <c r="H91" s="521"/>
      <c r="J91" s="250" t="s">
        <v>178</v>
      </c>
    </row>
    <row r="92" spans="2:10" ht="4.5" customHeight="1" x14ac:dyDescent="0.25"/>
    <row r="93" spans="2:10" ht="13.5" customHeight="1" x14ac:dyDescent="0.25">
      <c r="G93" s="251" t="s">
        <v>196</v>
      </c>
      <c r="H93" s="252"/>
      <c r="I93" s="253"/>
      <c r="J93" s="254">
        <f ca="1">IF(AND(I118&gt;=0,I118&lt;=1),I118,"NA!")</f>
        <v>0</v>
      </c>
    </row>
    <row r="94" spans="2:10" ht="19.5" customHeight="1" x14ac:dyDescent="0.25"/>
    <row r="95" spans="2:10" ht="18" customHeight="1" x14ac:dyDescent="0.25">
      <c r="B95" s="467" t="s">
        <v>141</v>
      </c>
      <c r="C95" s="467"/>
      <c r="D95" s="467"/>
      <c r="E95" s="467"/>
      <c r="F95" s="467"/>
      <c r="G95" s="467"/>
      <c r="H95" s="467"/>
      <c r="I95" s="467"/>
      <c r="J95" s="467"/>
    </row>
    <row r="96" spans="2:10" ht="6" customHeight="1" x14ac:dyDescent="0.25"/>
    <row r="97" spans="2:10" ht="15" customHeight="1" x14ac:dyDescent="0.25">
      <c r="B97" s="509"/>
      <c r="C97" s="510"/>
      <c r="D97" s="510"/>
      <c r="E97" s="510"/>
      <c r="F97" s="510"/>
      <c r="G97" s="511"/>
      <c r="H97" s="524" t="s">
        <v>197</v>
      </c>
      <c r="I97" s="525"/>
      <c r="J97" s="525"/>
    </row>
    <row r="98" spans="2:10" x14ac:dyDescent="0.25">
      <c r="B98" s="512"/>
      <c r="C98" s="513"/>
      <c r="D98" s="513"/>
      <c r="E98" s="513"/>
      <c r="F98" s="513"/>
      <c r="G98" s="514"/>
      <c r="H98" s="524"/>
      <c r="I98" s="525"/>
      <c r="J98" s="525"/>
    </row>
    <row r="99" spans="2:10" x14ac:dyDescent="0.25">
      <c r="B99" s="512"/>
      <c r="C99" s="513"/>
      <c r="D99" s="513"/>
      <c r="E99" s="513"/>
      <c r="F99" s="513"/>
      <c r="G99" s="514"/>
      <c r="H99" s="255"/>
      <c r="I99" s="256"/>
      <c r="J99" s="256"/>
    </row>
    <row r="100" spans="2:10" x14ac:dyDescent="0.25">
      <c r="B100" s="512"/>
      <c r="C100" s="513"/>
      <c r="D100" s="513"/>
      <c r="E100" s="513"/>
      <c r="F100" s="513"/>
      <c r="G100" s="514"/>
      <c r="H100" s="522" t="s">
        <v>194</v>
      </c>
      <c r="I100" s="523"/>
      <c r="J100" s="523"/>
    </row>
    <row r="101" spans="2:10" x14ac:dyDescent="0.25">
      <c r="B101" s="512"/>
      <c r="C101" s="513"/>
      <c r="D101" s="513"/>
      <c r="E101" s="513"/>
      <c r="F101" s="513"/>
      <c r="G101" s="514"/>
      <c r="H101" s="522"/>
      <c r="I101" s="523"/>
      <c r="J101" s="523"/>
    </row>
    <row r="102" spans="2:10" x14ac:dyDescent="0.25">
      <c r="B102" s="515"/>
      <c r="C102" s="516"/>
      <c r="D102" s="516"/>
      <c r="E102" s="516"/>
      <c r="F102" s="516"/>
      <c r="G102" s="517"/>
      <c r="H102" s="255"/>
      <c r="I102" s="256"/>
      <c r="J102" s="256"/>
    </row>
    <row r="103" spans="2:10" ht="19.5" customHeight="1" x14ac:dyDescent="0.25"/>
    <row r="104" spans="2:10" ht="18" customHeight="1" x14ac:dyDescent="0.25">
      <c r="B104" s="467" t="s">
        <v>172</v>
      </c>
      <c r="C104" s="467"/>
      <c r="D104" s="467"/>
      <c r="E104" s="467"/>
      <c r="F104" s="467"/>
      <c r="G104" s="467"/>
      <c r="H104" s="467"/>
      <c r="I104" s="467"/>
      <c r="J104" s="467"/>
    </row>
    <row r="105" spans="2:10" ht="4.5" customHeight="1" x14ac:dyDescent="0.25"/>
    <row r="106" spans="2:10" ht="27" customHeight="1" x14ac:dyDescent="0.25">
      <c r="B106" s="257" t="s">
        <v>7</v>
      </c>
      <c r="C106" s="257" t="s">
        <v>26</v>
      </c>
      <c r="D106" s="257" t="str">
        <f>CONCATENATE(IF(D$37&lt;&gt;"",D$37,D$36),"'s amount")</f>
        <v>Member 1's amount</v>
      </c>
      <c r="E106" s="257" t="str">
        <f>CONCATENATE(IF(E$37&lt;&gt;"",E$37,E$36),"'s amount")</f>
        <v>Member 2's amount</v>
      </c>
      <c r="F106" s="257" t="str">
        <f>CONCATENATE(IF(F$37&lt;&gt;"",F$37,F$36),"'s amount")</f>
        <v>Member 3's amount</v>
      </c>
      <c r="G106" s="257" t="str">
        <f>CONCATENATE(IF(G$37&lt;&gt;"",G$37,G$36),"'s amount")</f>
        <v>Member 4's amount</v>
      </c>
      <c r="I106" s="460" t="str">
        <f ca="1">IF(K284&gt;0,CONCATENATE("Still ",K284," issues to be resolved before finished!"),"The application appears ready to be sent!")</f>
        <v>Still 13 issues to be resolved before finished!</v>
      </c>
      <c r="J106" s="460"/>
    </row>
    <row r="107" spans="2:10" ht="15" hidden="1" customHeight="1" x14ac:dyDescent="0.25">
      <c r="B107" s="258"/>
      <c r="C107" s="258"/>
      <c r="D107" s="258"/>
      <c r="E107" s="258"/>
      <c r="F107" s="258"/>
      <c r="G107" s="258"/>
      <c r="I107" s="460"/>
      <c r="J107" s="460"/>
    </row>
    <row r="108" spans="2:10" ht="15" hidden="1" customHeight="1" x14ac:dyDescent="0.25">
      <c r="B108" s="258" t="s">
        <v>8</v>
      </c>
      <c r="C108" s="258"/>
      <c r="D108" s="258"/>
      <c r="E108" s="258"/>
      <c r="F108" s="258"/>
      <c r="G108" s="258"/>
      <c r="I108" s="460"/>
      <c r="J108" s="460"/>
    </row>
    <row r="109" spans="2:10" ht="15" hidden="1" customHeight="1" x14ac:dyDescent="0.25">
      <c r="B109" s="258" t="s">
        <v>9</v>
      </c>
      <c r="C109" s="258"/>
      <c r="D109" s="258"/>
      <c r="E109" s="258"/>
      <c r="F109" s="258"/>
      <c r="G109" s="258"/>
      <c r="I109" s="460"/>
      <c r="J109" s="460"/>
    </row>
    <row r="110" spans="2:10" ht="15" hidden="1" customHeight="1" x14ac:dyDescent="0.25">
      <c r="B110" s="424" t="s">
        <v>285</v>
      </c>
      <c r="C110" s="258"/>
      <c r="D110" s="258"/>
      <c r="E110" s="258"/>
      <c r="F110" s="258"/>
      <c r="G110" s="258"/>
      <c r="I110" s="460"/>
      <c r="J110" s="460"/>
    </row>
    <row r="111" spans="2:10" ht="15" hidden="1" customHeight="1" x14ac:dyDescent="0.25">
      <c r="B111" s="424" t="s">
        <v>286</v>
      </c>
      <c r="C111" s="258"/>
      <c r="D111" s="258"/>
      <c r="E111" s="258"/>
      <c r="F111" s="258"/>
      <c r="G111" s="258"/>
      <c r="I111" s="460"/>
      <c r="J111" s="460"/>
    </row>
    <row r="112" spans="2:10" ht="13.5" customHeight="1" x14ac:dyDescent="0.25">
      <c r="B112" s="325"/>
      <c r="C112" s="326"/>
      <c r="D112" s="327"/>
      <c r="E112" s="327"/>
      <c r="F112" s="327"/>
      <c r="G112" s="327"/>
      <c r="I112" s="460"/>
      <c r="J112" s="460"/>
    </row>
    <row r="113" spans="2:10" ht="13.5" customHeight="1" x14ac:dyDescent="0.25">
      <c r="B113" s="325"/>
      <c r="C113" s="326"/>
      <c r="D113" s="327"/>
      <c r="E113" s="327"/>
      <c r="F113" s="327"/>
      <c r="G113" s="327"/>
      <c r="I113" s="460"/>
      <c r="J113" s="460"/>
    </row>
    <row r="114" spans="2:10" ht="13.5" customHeight="1" x14ac:dyDescent="0.25">
      <c r="B114" s="325"/>
      <c r="C114" s="326"/>
      <c r="D114" s="327"/>
      <c r="E114" s="327"/>
      <c r="F114" s="327"/>
      <c r="G114" s="327"/>
    </row>
    <row r="115" spans="2:10" ht="13.5" customHeight="1" x14ac:dyDescent="0.25">
      <c r="B115" s="325"/>
      <c r="C115" s="326"/>
      <c r="D115" s="327"/>
      <c r="E115" s="327"/>
      <c r="F115" s="327"/>
      <c r="G115" s="327"/>
    </row>
    <row r="116" spans="2:10" ht="13.5" customHeight="1" x14ac:dyDescent="0.25">
      <c r="B116" s="325"/>
      <c r="C116" s="326"/>
      <c r="D116" s="327"/>
      <c r="E116" s="327"/>
      <c r="F116" s="327"/>
      <c r="G116" s="327"/>
      <c r="I116" s="462" t="s">
        <v>168</v>
      </c>
      <c r="J116" s="462"/>
    </row>
    <row r="117" spans="2:10" ht="13.5" customHeight="1" x14ac:dyDescent="0.25">
      <c r="B117" s="325"/>
      <c r="C117" s="326"/>
      <c r="D117" s="327"/>
      <c r="E117" s="327"/>
      <c r="F117" s="327"/>
      <c r="G117" s="327"/>
      <c r="I117" s="470" t="str">
        <f ca="1">IF(G192&lt;&gt;0,"(with uniform transactions):",IF(ErrorFlag,"There's an error!",""))</f>
        <v/>
      </c>
      <c r="J117" s="470"/>
    </row>
    <row r="118" spans="2:10" ht="13.5" customHeight="1" x14ac:dyDescent="0.25">
      <c r="B118" s="325"/>
      <c r="C118" s="326"/>
      <c r="D118" s="327"/>
      <c r="E118" s="327"/>
      <c r="F118" s="327"/>
      <c r="G118" s="327"/>
      <c r="I118" s="463">
        <f ca="1">IF(calcNOgood,"CANNOT CALCULATE!",IF(ITError,"Internal Transfers Error",GL!$AB$379))</f>
        <v>0</v>
      </c>
      <c r="J118" s="463"/>
    </row>
    <row r="119" spans="2:10" ht="13.5" customHeight="1" x14ac:dyDescent="0.25">
      <c r="B119" s="325"/>
      <c r="C119" s="326"/>
      <c r="D119" s="327"/>
      <c r="E119" s="327"/>
      <c r="F119" s="327"/>
      <c r="G119" s="327"/>
    </row>
    <row r="120" spans="2:10" ht="13.5" customHeight="1" x14ac:dyDescent="0.25">
      <c r="B120" s="325"/>
      <c r="C120" s="326"/>
      <c r="D120" s="327"/>
      <c r="E120" s="327"/>
      <c r="F120" s="327"/>
      <c r="G120" s="327"/>
      <c r="I120" s="477" t="s">
        <v>259</v>
      </c>
      <c r="J120" s="477"/>
    </row>
    <row r="121" spans="2:10" ht="13.5" customHeight="1" x14ac:dyDescent="0.25">
      <c r="B121" s="325"/>
      <c r="C121" s="326"/>
      <c r="D121" s="327"/>
      <c r="E121" s="327"/>
      <c r="F121" s="327"/>
      <c r="G121" s="327"/>
      <c r="I121" s="421" t="str">
        <f>IF(mname1&lt;&gt;"",mname1,"")</f>
        <v/>
      </c>
      <c r="J121" s="422" t="str">
        <f>IF(calcNOgood,"NA!",IF(I121&lt;&gt;"",GL!$AQ$373,""))</f>
        <v/>
      </c>
    </row>
    <row r="122" spans="2:10" ht="13.5" customHeight="1" x14ac:dyDescent="0.25">
      <c r="B122" s="325"/>
      <c r="C122" s="326"/>
      <c r="D122" s="327"/>
      <c r="E122" s="327"/>
      <c r="F122" s="327"/>
      <c r="G122" s="327"/>
      <c r="I122" s="421" t="str">
        <f>IF(mname2&lt;&gt;"",mname2,"")</f>
        <v/>
      </c>
      <c r="J122" s="422" t="str">
        <f>IF(calcNOgood,"NA!",IF(I122&lt;&gt;"",GL!$AR$373,""))</f>
        <v/>
      </c>
    </row>
    <row r="123" spans="2:10" ht="13.5" customHeight="1" x14ac:dyDescent="0.25">
      <c r="B123" s="325"/>
      <c r="C123" s="326"/>
      <c r="D123" s="327"/>
      <c r="E123" s="327"/>
      <c r="F123" s="327"/>
      <c r="G123" s="327"/>
      <c r="I123" s="421" t="str">
        <f>IF(mname3&lt;&gt;"",mname3,"")</f>
        <v/>
      </c>
      <c r="J123" s="422" t="str">
        <f>IF(calcNOgood,"NA!",IF(I123&lt;&gt;"",GL!$AS$373,""))</f>
        <v/>
      </c>
    </row>
    <row r="124" spans="2:10" ht="13.5" customHeight="1" x14ac:dyDescent="0.25">
      <c r="B124" s="325"/>
      <c r="C124" s="328"/>
      <c r="D124" s="327"/>
      <c r="E124" s="327"/>
      <c r="F124" s="327"/>
      <c r="G124" s="327"/>
      <c r="I124" s="421" t="str">
        <f>IF(mname4&lt;&gt;"",mname4,"")</f>
        <v/>
      </c>
      <c r="J124" s="422" t="str">
        <f>IF(calcNOgood,"NA!",IF(I124&lt;&gt;"",GL!$AT$373,""))</f>
        <v/>
      </c>
    </row>
    <row r="125" spans="2:10" ht="13.5" customHeight="1" x14ac:dyDescent="0.25">
      <c r="B125" s="325"/>
      <c r="C125" s="328"/>
      <c r="D125" s="327"/>
      <c r="E125" s="327"/>
      <c r="F125" s="327"/>
      <c r="G125" s="327"/>
      <c r="I125" s="478" t="s">
        <v>260</v>
      </c>
      <c r="J125" s="478"/>
    </row>
    <row r="126" spans="2:10" ht="13.5" customHeight="1" x14ac:dyDescent="0.25">
      <c r="B126" s="325"/>
      <c r="C126" s="328"/>
      <c r="D126" s="327"/>
      <c r="E126" s="327"/>
      <c r="F126" s="327"/>
      <c r="G126" s="327"/>
      <c r="I126" s="421" t="str">
        <f>IF(mname1&lt;&gt;"",mname1,"")</f>
        <v/>
      </c>
      <c r="J126" s="422" t="str">
        <f>IF(calcNOgood,"NA!",IF(I126&lt;&gt;"",GL!$AQ$378,""))</f>
        <v/>
      </c>
    </row>
    <row r="127" spans="2:10" ht="13.5" customHeight="1" x14ac:dyDescent="0.25">
      <c r="B127" s="325"/>
      <c r="C127" s="328"/>
      <c r="D127" s="327"/>
      <c r="E127" s="327"/>
      <c r="F127" s="327"/>
      <c r="G127" s="327"/>
      <c r="I127" s="421" t="str">
        <f>IF(mname2&lt;&gt;"",mname2,"")</f>
        <v/>
      </c>
      <c r="J127" s="422" t="str">
        <f>IF(calcNOgood,"NA!",IF(I127&lt;&gt;"",GL!$AR$378,""))</f>
        <v/>
      </c>
    </row>
    <row r="128" spans="2:10" ht="13.5" customHeight="1" x14ac:dyDescent="0.25">
      <c r="B128" s="325"/>
      <c r="C128" s="328"/>
      <c r="D128" s="327"/>
      <c r="E128" s="327"/>
      <c r="F128" s="327"/>
      <c r="G128" s="327"/>
      <c r="I128" s="421" t="str">
        <f>IF(mname3&lt;&gt;"",mname3,"")</f>
        <v/>
      </c>
      <c r="J128" s="422" t="str">
        <f>IF(calcNOgood,"NA!",IF(I128&lt;&gt;"",GL!$AS$378,""))</f>
        <v/>
      </c>
    </row>
    <row r="129" spans="2:10" ht="13.5" customHeight="1" x14ac:dyDescent="0.25">
      <c r="B129" s="325"/>
      <c r="C129" s="328"/>
      <c r="D129" s="327"/>
      <c r="E129" s="327"/>
      <c r="F129" s="327"/>
      <c r="G129" s="327"/>
      <c r="I129" s="421" t="str">
        <f>IF(mname4&lt;&gt;"",mname4,"")</f>
        <v/>
      </c>
      <c r="J129" s="422" t="str">
        <f>IF(calcNOgood,"NA!",IF(I129&lt;&gt;"",GL!$AT$378,""))</f>
        <v/>
      </c>
    </row>
    <row r="130" spans="2:10" ht="13.5" customHeight="1" x14ac:dyDescent="0.25">
      <c r="B130" s="325"/>
      <c r="C130" s="328"/>
      <c r="D130" s="327"/>
      <c r="E130" s="327"/>
      <c r="F130" s="327"/>
      <c r="G130" s="327"/>
      <c r="I130" s="347"/>
      <c r="J130" s="348"/>
    </row>
    <row r="131" spans="2:10" ht="13.5" customHeight="1" x14ac:dyDescent="0.25">
      <c r="B131" s="325"/>
      <c r="C131" s="328"/>
      <c r="D131" s="327"/>
      <c r="E131" s="327"/>
      <c r="F131" s="327"/>
      <c r="G131" s="327"/>
      <c r="I131" s="491" t="str">
        <f ca="1">IF(I118="CANNOT CALCULATE!","There is a problem with using UNIFORM Transactions and pension commencements or commutations.","")</f>
        <v/>
      </c>
      <c r="J131" s="491"/>
    </row>
    <row r="132" spans="2:10" ht="13.5" customHeight="1" x14ac:dyDescent="0.25">
      <c r="B132" s="325"/>
      <c r="C132" s="328"/>
      <c r="D132" s="327"/>
      <c r="E132" s="327"/>
      <c r="F132" s="327"/>
      <c r="G132" s="327"/>
      <c r="I132" s="491"/>
      <c r="J132" s="491"/>
    </row>
    <row r="133" spans="2:10" ht="13.5" customHeight="1" x14ac:dyDescent="0.25">
      <c r="B133" s="325"/>
      <c r="C133" s="328"/>
      <c r="D133" s="327"/>
      <c r="E133" s="327"/>
      <c r="F133" s="327"/>
      <c r="G133" s="327"/>
      <c r="I133" s="491"/>
      <c r="J133" s="491"/>
    </row>
    <row r="134" spans="2:10" ht="13.5" customHeight="1" x14ac:dyDescent="0.25">
      <c r="B134" s="325"/>
      <c r="C134" s="328"/>
      <c r="D134" s="327"/>
      <c r="E134" s="327"/>
      <c r="F134" s="327"/>
      <c r="G134" s="327"/>
      <c r="I134" s="491"/>
      <c r="J134" s="491"/>
    </row>
    <row r="135" spans="2:10" ht="13.5" customHeight="1" x14ac:dyDescent="0.25">
      <c r="B135" s="325"/>
      <c r="C135" s="328"/>
      <c r="D135" s="327"/>
      <c r="E135" s="327"/>
      <c r="F135" s="327"/>
      <c r="G135" s="327"/>
      <c r="I135" s="491"/>
      <c r="J135" s="491"/>
    </row>
    <row r="136" spans="2:10" ht="13.5" customHeight="1" x14ac:dyDescent="0.25">
      <c r="B136" s="325"/>
      <c r="C136" s="328"/>
      <c r="D136" s="327"/>
      <c r="E136" s="327"/>
      <c r="F136" s="327"/>
      <c r="G136" s="327"/>
    </row>
    <row r="137" spans="2:10" ht="13.5" customHeight="1" x14ac:dyDescent="0.25">
      <c r="B137" s="325"/>
      <c r="C137" s="328"/>
      <c r="D137" s="327"/>
      <c r="E137" s="327"/>
      <c r="F137" s="327"/>
      <c r="G137" s="327"/>
      <c r="I137" s="491" t="str">
        <f ca="1">IF(I131&lt;&gt;"","Please list all transactions individually or as 12 separate monthly summary transactions.","")</f>
        <v/>
      </c>
      <c r="J137" s="491"/>
    </row>
    <row r="138" spans="2:10" ht="13.5" customHeight="1" x14ac:dyDescent="0.25">
      <c r="B138" s="325"/>
      <c r="C138" s="328"/>
      <c r="D138" s="327"/>
      <c r="E138" s="327"/>
      <c r="F138" s="327"/>
      <c r="G138" s="327"/>
      <c r="I138" s="491"/>
      <c r="J138" s="491"/>
    </row>
    <row r="139" spans="2:10" ht="13.5" customHeight="1" x14ac:dyDescent="0.25">
      <c r="B139" s="325"/>
      <c r="C139" s="328"/>
      <c r="D139" s="327"/>
      <c r="E139" s="327"/>
      <c r="F139" s="327"/>
      <c r="G139" s="327"/>
      <c r="I139" s="491"/>
      <c r="J139" s="491"/>
    </row>
    <row r="140" spans="2:10" ht="13.5" customHeight="1" x14ac:dyDescent="0.25">
      <c r="B140" s="325"/>
      <c r="C140" s="328"/>
      <c r="D140" s="327"/>
      <c r="E140" s="327"/>
      <c r="F140" s="327"/>
      <c r="G140" s="327"/>
      <c r="I140" s="491"/>
      <c r="J140" s="491"/>
    </row>
    <row r="141" spans="2:10" ht="13.5" customHeight="1" x14ac:dyDescent="0.25">
      <c r="B141" s="259"/>
      <c r="C141" s="261"/>
      <c r="D141" s="260"/>
      <c r="E141" s="260"/>
      <c r="F141" s="260"/>
      <c r="G141" s="260"/>
      <c r="I141" s="262"/>
      <c r="J141" s="262"/>
    </row>
    <row r="142" spans="2:10" ht="13.5" customHeight="1" x14ac:dyDescent="0.25">
      <c r="B142" s="259"/>
      <c r="C142" s="261"/>
      <c r="D142" s="260"/>
      <c r="E142" s="260"/>
      <c r="F142" s="260"/>
      <c r="G142" s="260"/>
      <c r="I142" s="492" t="str">
        <f ca="1">IF(I137&lt;&gt;""," Call the Act2 Team on 1800 230 737 for assistance.","")</f>
        <v/>
      </c>
      <c r="J142" s="492"/>
    </row>
    <row r="143" spans="2:10" ht="13.5" customHeight="1" x14ac:dyDescent="0.25">
      <c r="B143" s="259"/>
      <c r="C143" s="261"/>
      <c r="D143" s="260"/>
      <c r="E143" s="260"/>
      <c r="F143" s="260"/>
      <c r="G143" s="260"/>
      <c r="I143" s="492"/>
      <c r="J143" s="492"/>
    </row>
    <row r="144" spans="2:10" ht="13.5" customHeight="1" x14ac:dyDescent="0.25">
      <c r="B144" s="259"/>
      <c r="C144" s="261"/>
      <c r="D144" s="260"/>
      <c r="E144" s="260"/>
      <c r="F144" s="260"/>
      <c r="G144" s="260"/>
    </row>
    <row r="145" spans="2:10" ht="13.5" customHeight="1" x14ac:dyDescent="0.25">
      <c r="B145" s="259"/>
      <c r="C145" s="261"/>
      <c r="D145" s="260"/>
      <c r="E145" s="260"/>
      <c r="F145" s="260"/>
      <c r="G145" s="260"/>
      <c r="I145" s="460" t="str">
        <f ca="1">IF(K284&gt;0,CONCATENATE("Still ",K284," issues to be resolved before finished!"),"The application appears ready to be sent!")</f>
        <v>Still 13 issues to be resolved before finished!</v>
      </c>
      <c r="J145" s="460"/>
    </row>
    <row r="146" spans="2:10" ht="13.5" customHeight="1" x14ac:dyDescent="0.25">
      <c r="B146" s="259"/>
      <c r="C146" s="261"/>
      <c r="D146" s="260"/>
      <c r="E146" s="260"/>
      <c r="F146" s="260"/>
      <c r="G146" s="260"/>
      <c r="I146" s="460"/>
      <c r="J146" s="460"/>
    </row>
    <row r="147" spans="2:10" ht="13.5" customHeight="1" x14ac:dyDescent="0.25">
      <c r="B147" s="259"/>
      <c r="C147" s="261"/>
      <c r="D147" s="260"/>
      <c r="E147" s="260"/>
      <c r="F147" s="260"/>
      <c r="G147" s="260"/>
      <c r="I147" s="460"/>
      <c r="J147" s="460"/>
    </row>
    <row r="148" spans="2:10" ht="13.5" customHeight="1" x14ac:dyDescent="0.25">
      <c r="B148" s="259"/>
      <c r="C148" s="261"/>
      <c r="D148" s="260"/>
      <c r="E148" s="260"/>
      <c r="F148" s="260"/>
      <c r="G148" s="260"/>
      <c r="I148" s="460"/>
      <c r="J148" s="460"/>
    </row>
    <row r="149" spans="2:10" ht="13.5" customHeight="1" x14ac:dyDescent="0.25">
      <c r="B149" s="259"/>
      <c r="C149" s="261"/>
      <c r="D149" s="260"/>
      <c r="E149" s="260"/>
      <c r="F149" s="260"/>
      <c r="G149" s="260"/>
    </row>
    <row r="150" spans="2:10" ht="13.5" customHeight="1" x14ac:dyDescent="0.25">
      <c r="B150" s="259"/>
      <c r="C150" s="261"/>
      <c r="D150" s="260"/>
      <c r="E150" s="260"/>
      <c r="F150" s="260"/>
      <c r="G150" s="260"/>
    </row>
    <row r="151" spans="2:10" ht="13.5" customHeight="1" x14ac:dyDescent="0.25">
      <c r="B151" s="259"/>
      <c r="C151" s="261"/>
      <c r="D151" s="260"/>
      <c r="E151" s="260"/>
      <c r="F151" s="260"/>
      <c r="G151" s="260"/>
    </row>
    <row r="152" spans="2:10" ht="13.5" customHeight="1" x14ac:dyDescent="0.25">
      <c r="B152" s="259"/>
      <c r="C152" s="261"/>
      <c r="D152" s="260"/>
      <c r="E152" s="260"/>
      <c r="F152" s="260"/>
      <c r="G152" s="260"/>
    </row>
    <row r="153" spans="2:10" ht="13.5" customHeight="1" x14ac:dyDescent="0.25">
      <c r="B153" s="259"/>
      <c r="C153" s="261"/>
      <c r="D153" s="260"/>
      <c r="E153" s="260"/>
      <c r="F153" s="260"/>
      <c r="G153" s="260"/>
    </row>
    <row r="154" spans="2:10" ht="13.5" customHeight="1" x14ac:dyDescent="0.25">
      <c r="B154" s="259"/>
      <c r="C154" s="261"/>
      <c r="D154" s="260"/>
      <c r="E154" s="260"/>
      <c r="F154" s="260"/>
      <c r="G154" s="260"/>
    </row>
    <row r="155" spans="2:10" ht="13.5" customHeight="1" x14ac:dyDescent="0.25">
      <c r="B155" s="259"/>
      <c r="C155" s="261"/>
      <c r="D155" s="260"/>
      <c r="E155" s="260"/>
      <c r="F155" s="260"/>
      <c r="G155" s="260"/>
    </row>
    <row r="156" spans="2:10" ht="13.5" customHeight="1" x14ac:dyDescent="0.25">
      <c r="B156" s="259"/>
      <c r="C156" s="261"/>
      <c r="D156" s="260"/>
      <c r="E156" s="260"/>
      <c r="F156" s="260"/>
      <c r="G156" s="260"/>
    </row>
    <row r="157" spans="2:10" ht="13.5" customHeight="1" x14ac:dyDescent="0.25">
      <c r="B157" s="259"/>
      <c r="C157" s="261"/>
      <c r="D157" s="260"/>
      <c r="E157" s="260"/>
      <c r="F157" s="260"/>
      <c r="G157" s="260"/>
    </row>
    <row r="158" spans="2:10" ht="13.5" customHeight="1" x14ac:dyDescent="0.25">
      <c r="B158" s="259"/>
      <c r="C158" s="261"/>
      <c r="D158" s="260"/>
      <c r="E158" s="260"/>
      <c r="F158" s="260"/>
      <c r="G158" s="260"/>
    </row>
    <row r="159" spans="2:10" ht="13.5" customHeight="1" x14ac:dyDescent="0.25">
      <c r="B159" s="259"/>
      <c r="C159" s="261"/>
      <c r="D159" s="260"/>
      <c r="E159" s="260"/>
      <c r="F159" s="260"/>
      <c r="G159" s="260"/>
    </row>
    <row r="160" spans="2:10" ht="13.5" customHeight="1" x14ac:dyDescent="0.25">
      <c r="B160" s="259"/>
      <c r="C160" s="261"/>
      <c r="D160" s="260"/>
      <c r="E160" s="260"/>
      <c r="F160" s="260"/>
      <c r="G160" s="260"/>
    </row>
    <row r="161" spans="2:7" ht="13.5" customHeight="1" x14ac:dyDescent="0.25">
      <c r="B161" s="259"/>
      <c r="C161" s="261"/>
      <c r="D161" s="260"/>
      <c r="E161" s="260"/>
      <c r="F161" s="260"/>
      <c r="G161" s="260"/>
    </row>
    <row r="162" spans="2:7" ht="13.5" customHeight="1" x14ac:dyDescent="0.25">
      <c r="B162" s="259"/>
      <c r="C162" s="261"/>
      <c r="D162" s="260"/>
      <c r="E162" s="260"/>
      <c r="F162" s="260"/>
      <c r="G162" s="260"/>
    </row>
    <row r="163" spans="2:7" ht="13.5" customHeight="1" x14ac:dyDescent="0.25">
      <c r="B163" s="259"/>
      <c r="C163" s="261"/>
      <c r="D163" s="260"/>
      <c r="E163" s="260"/>
      <c r="F163" s="260"/>
      <c r="G163" s="260"/>
    </row>
    <row r="164" spans="2:7" ht="13.5" customHeight="1" x14ac:dyDescent="0.25">
      <c r="B164" s="259"/>
      <c r="C164" s="261"/>
      <c r="D164" s="260"/>
      <c r="E164" s="260"/>
      <c r="F164" s="260"/>
      <c r="G164" s="260"/>
    </row>
    <row r="165" spans="2:7" ht="13.5" customHeight="1" x14ac:dyDescent="0.25">
      <c r="B165" s="259"/>
      <c r="C165" s="261"/>
      <c r="D165" s="260"/>
      <c r="E165" s="260"/>
      <c r="F165" s="260"/>
      <c r="G165" s="260"/>
    </row>
    <row r="166" spans="2:7" ht="13.5" customHeight="1" x14ac:dyDescent="0.25">
      <c r="B166" s="259"/>
      <c r="C166" s="261"/>
      <c r="D166" s="260"/>
      <c r="E166" s="260"/>
      <c r="F166" s="260"/>
      <c r="G166" s="260"/>
    </row>
    <row r="167" spans="2:7" ht="13.5" customHeight="1" x14ac:dyDescent="0.25">
      <c r="B167" s="259"/>
      <c r="C167" s="261"/>
      <c r="D167" s="260"/>
      <c r="E167" s="260"/>
      <c r="F167" s="260"/>
      <c r="G167" s="260"/>
    </row>
    <row r="168" spans="2:7" ht="13.5" customHeight="1" x14ac:dyDescent="0.25">
      <c r="B168" s="259"/>
      <c r="C168" s="261"/>
      <c r="D168" s="260"/>
      <c r="E168" s="260"/>
      <c r="F168" s="260"/>
      <c r="G168" s="260"/>
    </row>
    <row r="169" spans="2:7" ht="13.5" customHeight="1" x14ac:dyDescent="0.25">
      <c r="B169" s="259"/>
      <c r="C169" s="261"/>
      <c r="D169" s="260"/>
      <c r="E169" s="260"/>
      <c r="F169" s="260"/>
      <c r="G169" s="260"/>
    </row>
    <row r="170" spans="2:7" ht="13.5" customHeight="1" x14ac:dyDescent="0.25">
      <c r="B170" s="259"/>
      <c r="C170" s="261"/>
      <c r="D170" s="260"/>
      <c r="E170" s="260"/>
      <c r="F170" s="260"/>
      <c r="G170" s="260"/>
    </row>
    <row r="171" spans="2:7" ht="13.5" customHeight="1" x14ac:dyDescent="0.25">
      <c r="B171" s="259"/>
      <c r="C171" s="261"/>
      <c r="D171" s="260"/>
      <c r="E171" s="260"/>
      <c r="F171" s="260"/>
      <c r="G171" s="260"/>
    </row>
    <row r="172" spans="2:7" ht="13.5" customHeight="1" x14ac:dyDescent="0.25">
      <c r="B172" s="259"/>
      <c r="C172" s="261"/>
      <c r="D172" s="260"/>
      <c r="E172" s="260"/>
      <c r="F172" s="260"/>
      <c r="G172" s="260"/>
    </row>
    <row r="173" spans="2:7" ht="13.5" customHeight="1" x14ac:dyDescent="0.25">
      <c r="B173" s="259"/>
      <c r="C173" s="261"/>
      <c r="D173" s="260"/>
      <c r="E173" s="260"/>
      <c r="F173" s="260"/>
      <c r="G173" s="260"/>
    </row>
    <row r="174" spans="2:7" ht="13.5" customHeight="1" x14ac:dyDescent="0.25">
      <c r="B174" s="259"/>
      <c r="C174" s="261"/>
      <c r="D174" s="260"/>
      <c r="E174" s="260"/>
      <c r="F174" s="260"/>
      <c r="G174" s="260"/>
    </row>
    <row r="175" spans="2:7" ht="13.5" customHeight="1" x14ac:dyDescent="0.25">
      <c r="B175" s="259"/>
      <c r="C175" s="261"/>
      <c r="D175" s="260"/>
      <c r="E175" s="260"/>
      <c r="F175" s="260"/>
      <c r="G175" s="260"/>
    </row>
    <row r="176" spans="2:7" ht="13.5" customHeight="1" x14ac:dyDescent="0.25">
      <c r="B176" s="259"/>
      <c r="C176" s="261"/>
      <c r="D176" s="260"/>
      <c r="E176" s="260"/>
      <c r="F176" s="260"/>
      <c r="G176" s="260"/>
    </row>
    <row r="177" spans="2:10" ht="13.5" customHeight="1" x14ac:dyDescent="0.25">
      <c r="B177" s="259"/>
      <c r="C177" s="261"/>
      <c r="D177" s="260"/>
      <c r="E177" s="260"/>
      <c r="F177" s="260"/>
      <c r="G177" s="260"/>
    </row>
    <row r="178" spans="2:10" ht="13.5" customHeight="1" x14ac:dyDescent="0.25">
      <c r="B178" s="259"/>
      <c r="C178" s="261"/>
      <c r="D178" s="260"/>
      <c r="E178" s="260"/>
      <c r="F178" s="260"/>
      <c r="G178" s="260"/>
    </row>
    <row r="179" spans="2:10" ht="13.5" customHeight="1" x14ac:dyDescent="0.25">
      <c r="B179" s="259"/>
      <c r="C179" s="261"/>
      <c r="D179" s="260"/>
      <c r="E179" s="260"/>
      <c r="F179" s="260"/>
      <c r="G179" s="260"/>
    </row>
    <row r="180" spans="2:10" ht="13.5" customHeight="1" x14ac:dyDescent="0.25">
      <c r="B180" s="259"/>
      <c r="C180" s="261"/>
      <c r="D180" s="260"/>
      <c r="E180" s="260"/>
      <c r="F180" s="260"/>
      <c r="G180" s="260"/>
    </row>
    <row r="181" spans="2:10" ht="13.5" customHeight="1" x14ac:dyDescent="0.25">
      <c r="B181" s="259"/>
      <c r="C181" s="261"/>
      <c r="D181" s="260"/>
      <c r="E181" s="260"/>
      <c r="F181" s="260"/>
      <c r="G181" s="260"/>
    </row>
    <row r="182" spans="2:10" ht="13.5" customHeight="1" x14ac:dyDescent="0.25">
      <c r="B182" s="259"/>
      <c r="C182" s="261"/>
      <c r="D182" s="260"/>
      <c r="E182" s="260"/>
      <c r="F182" s="260"/>
      <c r="G182" s="260"/>
    </row>
    <row r="183" spans="2:10" ht="13.5" customHeight="1" x14ac:dyDescent="0.25">
      <c r="B183" s="259"/>
      <c r="C183" s="261"/>
      <c r="D183" s="260"/>
      <c r="E183" s="260"/>
      <c r="F183" s="260"/>
      <c r="G183" s="260"/>
    </row>
    <row r="184" spans="2:10" ht="13.5" customHeight="1" x14ac:dyDescent="0.25">
      <c r="B184" s="259"/>
      <c r="C184" s="261"/>
      <c r="D184" s="260"/>
      <c r="E184" s="260"/>
      <c r="F184" s="260"/>
      <c r="G184" s="260"/>
    </row>
    <row r="185" spans="2:10" ht="13.5" customHeight="1" x14ac:dyDescent="0.25">
      <c r="B185" s="259"/>
      <c r="C185" s="261"/>
      <c r="D185" s="260"/>
      <c r="E185" s="260"/>
      <c r="F185" s="260"/>
      <c r="G185" s="260"/>
    </row>
    <row r="186" spans="2:10" ht="13.5" customHeight="1" x14ac:dyDescent="0.25">
      <c r="B186" s="259"/>
      <c r="C186" s="261"/>
      <c r="D186" s="260"/>
      <c r="E186" s="260"/>
      <c r="F186" s="260"/>
      <c r="G186" s="260"/>
    </row>
    <row r="187" spans="2:10" ht="13.5" customHeight="1" x14ac:dyDescent="0.25">
      <c r="B187" s="259"/>
      <c r="C187" s="261"/>
      <c r="D187" s="260"/>
      <c r="E187" s="260"/>
      <c r="F187" s="260"/>
      <c r="G187" s="260"/>
      <c r="I187" s="462" t="s">
        <v>168</v>
      </c>
      <c r="J187" s="462"/>
    </row>
    <row r="188" spans="2:10" ht="13.5" customHeight="1" x14ac:dyDescent="0.25">
      <c r="B188" s="259"/>
      <c r="C188" s="261"/>
      <c r="D188" s="260"/>
      <c r="E188" s="260"/>
      <c r="F188" s="260"/>
      <c r="G188" s="260"/>
      <c r="I188" s="470" t="str">
        <f ca="1">IF(G266&lt;&gt;0,"(with uniform transactions):",IF(ErrorFlag,"There's an error!",""))</f>
        <v>(with uniform transactions):</v>
      </c>
      <c r="J188" s="470"/>
    </row>
    <row r="189" spans="2:10" ht="13.5" customHeight="1" x14ac:dyDescent="0.25">
      <c r="B189" s="259"/>
      <c r="C189" s="261"/>
      <c r="D189" s="260"/>
      <c r="E189" s="260"/>
      <c r="F189" s="260"/>
      <c r="G189" s="260"/>
      <c r="I189" s="463">
        <f ca="1">IF(calcNOgood,"CANNOT CALCULATE!",IF(ITError,"Internal Transfers Error",GL!$AB$379))</f>
        <v>0</v>
      </c>
      <c r="J189" s="463"/>
    </row>
    <row r="190" spans="2:10" ht="13.5" customHeight="1" x14ac:dyDescent="0.25">
      <c r="B190" s="259"/>
      <c r="C190" s="261"/>
      <c r="D190" s="260"/>
      <c r="E190" s="260"/>
      <c r="F190" s="260"/>
      <c r="G190" s="260"/>
    </row>
    <row r="191" spans="2:10" ht="13.5" customHeight="1" x14ac:dyDescent="0.25">
      <c r="B191" s="259"/>
      <c r="C191" s="261"/>
      <c r="D191" s="260"/>
      <c r="E191" s="260"/>
      <c r="F191" s="260"/>
      <c r="G191" s="260"/>
    </row>
    <row r="192" spans="2:10" ht="19.5" hidden="1" customHeight="1" x14ac:dyDescent="0.25">
      <c r="B192" s="263">
        <f>COUNTBLANK(B112:B191)</f>
        <v>80</v>
      </c>
      <c r="C192" s="263">
        <f>COUNTBLANK(C112:C191)</f>
        <v>80</v>
      </c>
      <c r="G192" s="263">
        <f>C192-B192</f>
        <v>0</v>
      </c>
    </row>
    <row r="193" spans="2:10" s="176" customFormat="1" ht="15.75" hidden="1" customHeight="1" x14ac:dyDescent="0.25">
      <c r="B193" s="467" t="s">
        <v>176</v>
      </c>
      <c r="C193" s="467"/>
      <c r="D193" s="467"/>
      <c r="E193" s="467"/>
      <c r="F193" s="467"/>
      <c r="G193" s="467"/>
      <c r="H193" s="467"/>
      <c r="I193" s="467"/>
      <c r="J193" s="467"/>
    </row>
    <row r="194" spans="2:10" s="176" customFormat="1" ht="6" hidden="1" customHeight="1" x14ac:dyDescent="0.25">
      <c r="B194" s="130"/>
      <c r="C194" s="130"/>
      <c r="D194" s="130"/>
      <c r="E194" s="130"/>
      <c r="F194" s="130"/>
      <c r="G194" s="130"/>
      <c r="H194" s="130"/>
      <c r="I194" s="130"/>
      <c r="J194" s="130"/>
    </row>
    <row r="195" spans="2:10" s="176" customFormat="1" ht="15" hidden="1" customHeight="1" x14ac:dyDescent="0.25">
      <c r="B195" s="480" t="s">
        <v>146</v>
      </c>
      <c r="C195" s="481"/>
      <c r="D195" s="482"/>
      <c r="E195" s="483"/>
      <c r="F195" s="483"/>
      <c r="G195" s="483"/>
      <c r="H195" s="493" t="s">
        <v>147</v>
      </c>
      <c r="I195" s="494"/>
      <c r="J195" s="494"/>
    </row>
    <row r="196" spans="2:10" s="176" customFormat="1" ht="15" hidden="1" customHeight="1" x14ac:dyDescent="0.25">
      <c r="B196" s="480" t="s">
        <v>148</v>
      </c>
      <c r="C196" s="481"/>
      <c r="D196" s="482"/>
      <c r="E196" s="483"/>
      <c r="F196" s="483"/>
      <c r="G196" s="483"/>
      <c r="H196" s="495"/>
      <c r="I196" s="496"/>
      <c r="J196" s="496"/>
    </row>
    <row r="197" spans="2:10" s="176" customFormat="1" ht="15" hidden="1" customHeight="1" x14ac:dyDescent="0.25">
      <c r="B197" s="497" t="s">
        <v>134</v>
      </c>
      <c r="C197" s="498"/>
      <c r="D197" s="499"/>
      <c r="E197" s="500"/>
      <c r="F197" s="501"/>
      <c r="G197" s="264" t="s">
        <v>42</v>
      </c>
      <c r="H197" s="265"/>
      <c r="I197" s="264" t="s">
        <v>22</v>
      </c>
      <c r="J197" s="265"/>
    </row>
    <row r="198" spans="2:10" s="176" customFormat="1" ht="15" hidden="1" customHeight="1" x14ac:dyDescent="0.25">
      <c r="B198" s="130"/>
      <c r="C198" s="130"/>
      <c r="D198" s="130"/>
      <c r="E198" s="130"/>
      <c r="F198" s="130"/>
      <c r="G198" s="130"/>
      <c r="H198" s="132" t="s">
        <v>34</v>
      </c>
      <c r="I198" s="130"/>
      <c r="J198" s="130"/>
    </row>
    <row r="199" spans="2:10" s="176" customFormat="1" ht="15" hidden="1" customHeight="1" x14ac:dyDescent="0.25">
      <c r="B199" s="130"/>
      <c r="C199" s="130"/>
      <c r="D199" s="130"/>
      <c r="E199" s="130"/>
      <c r="F199" s="130"/>
      <c r="G199" s="130"/>
      <c r="H199" s="132" t="s">
        <v>35</v>
      </c>
      <c r="I199" s="130"/>
      <c r="J199" s="130"/>
    </row>
    <row r="200" spans="2:10" s="176" customFormat="1" ht="15" hidden="1" customHeight="1" x14ac:dyDescent="0.25">
      <c r="B200" s="130"/>
      <c r="C200" s="130"/>
      <c r="D200" s="130"/>
      <c r="E200" s="130"/>
      <c r="F200" s="130"/>
      <c r="G200" s="130"/>
      <c r="H200" s="132" t="s">
        <v>36</v>
      </c>
      <c r="I200" s="130"/>
      <c r="J200" s="130"/>
    </row>
    <row r="201" spans="2:10" s="176" customFormat="1" ht="15" hidden="1" customHeight="1" x14ac:dyDescent="0.25">
      <c r="B201" s="130"/>
      <c r="C201" s="130"/>
      <c r="D201" s="130"/>
      <c r="E201" s="130"/>
      <c r="F201" s="130"/>
      <c r="G201" s="130"/>
      <c r="H201" s="132" t="s">
        <v>37</v>
      </c>
      <c r="I201" s="130"/>
      <c r="J201" s="130"/>
    </row>
    <row r="202" spans="2:10" s="176" customFormat="1" ht="15" hidden="1" customHeight="1" x14ac:dyDescent="0.25">
      <c r="B202" s="130"/>
      <c r="C202" s="130"/>
      <c r="D202" s="130"/>
      <c r="E202" s="130"/>
      <c r="F202" s="130"/>
      <c r="G202" s="130"/>
      <c r="H202" s="132" t="s">
        <v>38</v>
      </c>
      <c r="I202" s="130"/>
      <c r="J202" s="130"/>
    </row>
    <row r="203" spans="2:10" s="176" customFormat="1" ht="15" hidden="1" customHeight="1" x14ac:dyDescent="0.25">
      <c r="B203" s="130"/>
      <c r="C203" s="130"/>
      <c r="D203" s="130"/>
      <c r="E203" s="130"/>
      <c r="F203" s="130"/>
      <c r="G203" s="130"/>
      <c r="H203" s="132" t="s">
        <v>39</v>
      </c>
      <c r="I203" s="130"/>
      <c r="J203" s="130"/>
    </row>
    <row r="204" spans="2:10" s="176" customFormat="1" ht="15" hidden="1" customHeight="1" x14ac:dyDescent="0.25">
      <c r="B204" s="130"/>
      <c r="C204" s="130"/>
      <c r="D204" s="130"/>
      <c r="E204" s="130"/>
      <c r="F204" s="130"/>
      <c r="G204" s="130"/>
      <c r="H204" s="132" t="s">
        <v>40</v>
      </c>
      <c r="I204" s="130"/>
      <c r="J204" s="130"/>
    </row>
    <row r="205" spans="2:10" s="176" customFormat="1" ht="15" hidden="1" customHeight="1" x14ac:dyDescent="0.25">
      <c r="B205" s="130"/>
      <c r="C205" s="130"/>
      <c r="D205" s="130"/>
      <c r="E205" s="130"/>
      <c r="F205" s="130"/>
      <c r="G205" s="130"/>
      <c r="H205" s="132" t="s">
        <v>41</v>
      </c>
      <c r="I205" s="130"/>
      <c r="J205" s="130"/>
    </row>
    <row r="206" spans="2:10" s="176" customFormat="1" ht="15" hidden="1" customHeight="1" x14ac:dyDescent="0.25">
      <c r="B206" s="484" t="s">
        <v>149</v>
      </c>
      <c r="C206" s="485"/>
      <c r="D206" s="486"/>
      <c r="E206" s="487"/>
      <c r="F206" s="266"/>
      <c r="G206" s="267" t="s">
        <v>46</v>
      </c>
      <c r="H206" s="488"/>
      <c r="I206" s="489"/>
      <c r="J206" s="490"/>
    </row>
    <row r="207" spans="2:10" ht="19.5" hidden="1" customHeight="1" x14ac:dyDescent="0.25">
      <c r="B207" s="263"/>
      <c r="C207" s="263"/>
      <c r="G207" s="263"/>
    </row>
    <row r="208" spans="2:10" s="176" customFormat="1" ht="15" hidden="1" customHeight="1" x14ac:dyDescent="0.25">
      <c r="B208" s="479" t="s">
        <v>207</v>
      </c>
      <c r="C208" s="479"/>
      <c r="D208" s="479"/>
      <c r="E208" s="479"/>
      <c r="F208" s="479"/>
      <c r="G208" s="479"/>
      <c r="H208" s="479"/>
      <c r="I208" s="479"/>
      <c r="J208" s="479"/>
    </row>
    <row r="209" spans="1:10" s="176" customFormat="1" ht="6" hidden="1" customHeight="1" x14ac:dyDescent="0.25">
      <c r="B209" s="130"/>
      <c r="C209" s="130"/>
      <c r="D209" s="130"/>
      <c r="E209" s="130"/>
      <c r="F209" s="130"/>
      <c r="G209" s="130"/>
      <c r="H209" s="130"/>
      <c r="I209" s="130"/>
      <c r="J209" s="130"/>
    </row>
    <row r="210" spans="1:10" s="176" customFormat="1" ht="15" hidden="1" customHeight="1" x14ac:dyDescent="0.25">
      <c r="B210" s="474" t="s">
        <v>150</v>
      </c>
      <c r="C210" s="474"/>
      <c r="D210" s="268" t="s">
        <v>151</v>
      </c>
      <c r="E210" s="269" t="s">
        <v>151</v>
      </c>
      <c r="F210" s="269" t="s">
        <v>151</v>
      </c>
      <c r="G210" s="270" t="s">
        <v>151</v>
      </c>
      <c r="H210" s="455" t="s">
        <v>163</v>
      </c>
      <c r="I210" s="456"/>
      <c r="J210" s="456"/>
    </row>
    <row r="211" spans="1:10" s="176" customFormat="1" ht="15" hidden="1" customHeight="1" x14ac:dyDescent="0.25">
      <c r="B211" s="474" t="s">
        <v>152</v>
      </c>
      <c r="C211" s="475"/>
      <c r="D211" s="452"/>
      <c r="E211" s="453"/>
      <c r="F211" s="453"/>
      <c r="G211" s="454"/>
      <c r="H211" s="455"/>
      <c r="I211" s="456"/>
      <c r="J211" s="456"/>
    </row>
    <row r="212" spans="1:10" s="176" customFormat="1" ht="15" hidden="1" customHeight="1" x14ac:dyDescent="0.25">
      <c r="B212" s="271" t="s">
        <v>153</v>
      </c>
      <c r="C212" s="272"/>
      <c r="D212" s="271" t="s">
        <v>154</v>
      </c>
      <c r="E212" s="273"/>
      <c r="F212" s="271" t="s">
        <v>155</v>
      </c>
      <c r="G212" s="274"/>
      <c r="H212" s="455"/>
      <c r="I212" s="456"/>
      <c r="J212" s="456"/>
    </row>
    <row r="213" spans="1:10" s="176" customFormat="1" ht="15" hidden="1" customHeight="1" x14ac:dyDescent="0.25">
      <c r="B213" s="130"/>
      <c r="C213" s="130"/>
      <c r="D213" s="130"/>
      <c r="E213" s="130"/>
      <c r="F213" s="130"/>
      <c r="G213" s="130"/>
      <c r="H213" s="130"/>
      <c r="I213" s="130"/>
      <c r="J213" s="130"/>
    </row>
    <row r="214" spans="1:10" s="176" customFormat="1" ht="15" hidden="1" customHeight="1" x14ac:dyDescent="0.25">
      <c r="B214" s="451" t="s">
        <v>156</v>
      </c>
      <c r="C214" s="451"/>
      <c r="D214" s="451"/>
      <c r="E214" s="451"/>
      <c r="F214" s="451"/>
      <c r="G214" s="451"/>
      <c r="H214" s="451"/>
      <c r="I214" s="451"/>
      <c r="J214" s="451"/>
    </row>
    <row r="215" spans="1:10" s="176" customFormat="1" ht="15" hidden="1" customHeight="1" x14ac:dyDescent="0.25">
      <c r="B215" s="451" t="s">
        <v>157</v>
      </c>
      <c r="C215" s="451"/>
      <c r="D215" s="451"/>
      <c r="E215" s="451"/>
      <c r="F215" s="451"/>
      <c r="G215" s="451"/>
      <c r="H215" s="451"/>
      <c r="I215" s="451"/>
      <c r="J215" s="451"/>
    </row>
    <row r="216" spans="1:10" s="176" customFormat="1" ht="4.5" hidden="1" customHeight="1" x14ac:dyDescent="0.25">
      <c r="B216" s="130"/>
      <c r="C216" s="130"/>
      <c r="D216" s="130"/>
      <c r="E216" s="130"/>
      <c r="F216" s="130"/>
      <c r="G216" s="130"/>
      <c r="H216" s="130"/>
      <c r="I216" s="130"/>
      <c r="J216" s="130"/>
    </row>
    <row r="217" spans="1:10" s="176" customFormat="1" ht="15" customHeight="1" thickBot="1" x14ac:dyDescent="0.3">
      <c r="B217" s="130"/>
      <c r="C217" s="130"/>
      <c r="D217" s="130"/>
      <c r="E217" s="130"/>
      <c r="F217" s="130"/>
      <c r="G217" s="130"/>
      <c r="H217" s="130"/>
      <c r="I217" s="130"/>
      <c r="J217" s="130"/>
    </row>
    <row r="218" spans="1:10" s="176" customFormat="1" ht="15" customHeight="1" thickTop="1" x14ac:dyDescent="0.25">
      <c r="A218" s="315"/>
      <c r="B218" s="316"/>
      <c r="C218" s="317"/>
      <c r="D218" s="317"/>
      <c r="E218" s="317"/>
      <c r="F218" s="317"/>
      <c r="G218" s="317"/>
      <c r="H218" s="317"/>
      <c r="I218" s="317"/>
      <c r="J218" s="318"/>
    </row>
    <row r="219" spans="1:10" s="176" customFormat="1" ht="19.5" customHeight="1" x14ac:dyDescent="0.3">
      <c r="A219" s="319"/>
      <c r="B219" s="476" t="str">
        <f>IF(theYear&lt;2018,"","Eligibility to use the Segregated Method for ECPI &amp; Deemed Segregation Periods")</f>
        <v>Eligibility to use the Segregated Method for ECPI &amp; Deemed Segregation Periods</v>
      </c>
      <c r="C219" s="476"/>
      <c r="D219" s="476"/>
      <c r="E219" s="476"/>
      <c r="F219" s="476"/>
      <c r="G219" s="448" t="str">
        <f>IF(theYear&lt;2018,"","NOTE: Changes applied to form - March 2022")</f>
        <v>NOTE: Changes applied to form - March 2022</v>
      </c>
      <c r="H219" s="448"/>
      <c r="I219" s="448"/>
      <c r="J219" s="449"/>
    </row>
    <row r="220" spans="1:10" s="176" customFormat="1" ht="19.5" customHeight="1" x14ac:dyDescent="0.3">
      <c r="A220" s="319"/>
      <c r="B220" s="130"/>
      <c r="C220" s="349"/>
      <c r="D220" s="349"/>
      <c r="E220" s="349"/>
      <c r="F220" s="349"/>
      <c r="G220" s="349"/>
      <c r="H220" s="349"/>
      <c r="I220" s="130"/>
      <c r="J220" s="320"/>
    </row>
    <row r="221" spans="1:10" s="176" customFormat="1" ht="15" customHeight="1" x14ac:dyDescent="0.25">
      <c r="A221" s="319"/>
      <c r="B221" s="467" t="str">
        <f>IF(theYear&lt;2018,"This section doesn't apply to applications for income years prior to 2017/18","ECPI Methodology, Eligibility and Choice")</f>
        <v>ECPI Methodology, Eligibility and Choice</v>
      </c>
      <c r="C221" s="467"/>
      <c r="D221" s="467"/>
      <c r="E221" s="467"/>
      <c r="F221" s="467"/>
      <c r="G221" s="467"/>
      <c r="H221" s="467"/>
      <c r="I221" s="467"/>
      <c r="J221" s="468"/>
    </row>
    <row r="222" spans="1:10" s="176" customFormat="1" ht="15" customHeight="1" x14ac:dyDescent="0.25">
      <c r="A222" s="319"/>
      <c r="B222" s="130"/>
      <c r="C222" s="130"/>
      <c r="D222" s="130"/>
      <c r="E222" s="130"/>
      <c r="F222" s="130"/>
      <c r="G222" s="130"/>
      <c r="H222" s="130"/>
      <c r="I222" s="130"/>
      <c r="J222" s="320"/>
    </row>
    <row r="223" spans="1:10" s="176" customFormat="1" ht="15" customHeight="1" x14ac:dyDescent="0.25">
      <c r="A223" s="319"/>
      <c r="B223" s="353"/>
      <c r="D223" s="130"/>
      <c r="E223" s="130"/>
      <c r="F223" s="130"/>
      <c r="G223" s="130"/>
      <c r="H223" s="251" t="str">
        <f>IF(theYear&lt;2018,"",CONCATENATE("Is the Superannuation Fund eligible to use the Segregated Method for claiming ECPI for the ",finyear," income year?  "))</f>
        <v xml:space="preserve">Is the Superannuation Fund eligible to use the Segregated Method for claiming ECPI for the 2023/24 income year?  </v>
      </c>
      <c r="I223" s="418" t="s">
        <v>288</v>
      </c>
      <c r="J223" s="320"/>
    </row>
    <row r="224" spans="1:10" s="176" customFormat="1" ht="15" customHeight="1" x14ac:dyDescent="0.25">
      <c r="A224" s="319"/>
      <c r="B224" s="130"/>
      <c r="C224" s="130"/>
      <c r="D224" s="130"/>
      <c r="E224" s="130"/>
      <c r="F224" s="130"/>
      <c r="G224" s="130"/>
      <c r="H224" s="130"/>
      <c r="I224" s="130"/>
      <c r="J224" s="320"/>
    </row>
    <row r="225" spans="1:18" s="176" customFormat="1" ht="15" hidden="1" customHeight="1" x14ac:dyDescent="0.25">
      <c r="A225" s="319"/>
      <c r="B225" s="130"/>
      <c r="C225" s="130"/>
      <c r="D225" s="130"/>
      <c r="E225" s="130"/>
      <c r="F225" s="130"/>
      <c r="G225" s="130"/>
      <c r="H225" s="130"/>
      <c r="I225" s="130"/>
      <c r="J225" s="320"/>
    </row>
    <row r="226" spans="1:18" s="176" customFormat="1" ht="15" hidden="1" customHeight="1" x14ac:dyDescent="0.25">
      <c r="A226" s="319"/>
      <c r="B226" s="130"/>
      <c r="C226" s="130"/>
      <c r="D226" s="130"/>
      <c r="E226" s="130"/>
      <c r="F226" s="130"/>
      <c r="G226" s="130"/>
      <c r="H226" s="130"/>
      <c r="I226" s="130"/>
      <c r="J226" s="320"/>
    </row>
    <row r="227" spans="1:18" s="176" customFormat="1" ht="15" hidden="1" customHeight="1" x14ac:dyDescent="0.25">
      <c r="A227" s="319"/>
      <c r="B227" s="130"/>
      <c r="C227" s="130"/>
      <c r="D227" s="130"/>
      <c r="E227" s="130"/>
      <c r="F227" s="130"/>
      <c r="G227" s="130"/>
      <c r="H227" s="130"/>
      <c r="I227" s="130"/>
      <c r="J227" s="320"/>
    </row>
    <row r="228" spans="1:18" s="176" customFormat="1" ht="15" hidden="1" customHeight="1" x14ac:dyDescent="0.25">
      <c r="A228" s="319"/>
      <c r="B228" s="130"/>
      <c r="C228" s="130"/>
      <c r="D228" s="130"/>
      <c r="E228" s="130"/>
      <c r="F228" s="130"/>
      <c r="G228" s="130"/>
      <c r="H228" s="130"/>
      <c r="I228" s="130"/>
      <c r="J228" s="320"/>
    </row>
    <row r="229" spans="1:18" s="176" customFormat="1" ht="15" customHeight="1" x14ac:dyDescent="0.25">
      <c r="A229" s="319"/>
      <c r="B229" s="426"/>
      <c r="C229" s="426"/>
      <c r="D229" s="426"/>
      <c r="E229" s="426"/>
      <c r="F229" s="426"/>
      <c r="G229" s="426"/>
      <c r="H229" s="251" t="str">
        <f>IF(AND(seg_eligible="Yes",VALUE(RIGHT(finyear,2))&gt;21),CONCATENATE("This Fund is eligible for Deemed Segregated Periods.  Do you wish to use DSPs (where possible) when calculating ECPI for the ",finyear," income year?  "),"")</f>
        <v xml:space="preserve">This Fund is eligible for Deemed Segregated Periods.  Do you wish to use DSPs (where possible) when calculating ECPI for the 2023/24 income year?  </v>
      </c>
      <c r="I229" s="418" t="s">
        <v>288</v>
      </c>
      <c r="J229" s="427"/>
    </row>
    <row r="230" spans="1:18" s="176" customFormat="1" ht="15" customHeight="1" x14ac:dyDescent="0.25">
      <c r="A230" s="319"/>
      <c r="B230" s="132"/>
      <c r="C230" s="132"/>
      <c r="D230" s="132"/>
      <c r="E230" s="388"/>
      <c r="F230" s="132"/>
      <c r="G230" s="132"/>
      <c r="H230" s="132"/>
      <c r="I230" s="132"/>
      <c r="J230" s="387"/>
    </row>
    <row r="231" spans="1:18" s="176" customFormat="1" ht="15" customHeight="1" x14ac:dyDescent="0.25">
      <c r="A231" s="319"/>
      <c r="B231" s="130"/>
      <c r="C231" s="130"/>
      <c r="D231" s="130"/>
      <c r="E231" s="130"/>
      <c r="F231" s="130"/>
      <c r="G231" s="130"/>
      <c r="H231" s="130"/>
      <c r="I231" s="130"/>
      <c r="J231" s="320"/>
    </row>
    <row r="232" spans="1:18" s="176" customFormat="1" ht="15" customHeight="1" x14ac:dyDescent="0.25">
      <c r="A232" s="319"/>
      <c r="B232" s="329" t="s">
        <v>224</v>
      </c>
      <c r="C232" s="345"/>
      <c r="D232" s="346" t="s">
        <v>227</v>
      </c>
      <c r="E232" s="311"/>
      <c r="F232" s="311"/>
      <c r="G232" s="311"/>
      <c r="H232" s="311"/>
      <c r="J232" s="320"/>
      <c r="K232" s="308"/>
      <c r="L232" s="308"/>
    </row>
    <row r="233" spans="1:18" s="176" customFormat="1" ht="4.5" customHeight="1" x14ac:dyDescent="0.25">
      <c r="A233" s="319"/>
      <c r="B233" s="305"/>
      <c r="C233" s="304"/>
      <c r="D233" s="344"/>
      <c r="E233" s="314"/>
      <c r="F233" s="314"/>
      <c r="G233" s="314"/>
      <c r="H233" s="314"/>
      <c r="I233" s="306"/>
      <c r="J233" s="320"/>
      <c r="K233" s="308"/>
      <c r="L233" s="308"/>
    </row>
    <row r="234" spans="1:18" s="176" customFormat="1" ht="4.5" customHeight="1" x14ac:dyDescent="0.25">
      <c r="A234" s="319"/>
      <c r="B234" s="329"/>
      <c r="C234" s="345"/>
      <c r="D234" s="346"/>
      <c r="E234" s="311"/>
      <c r="F234" s="311"/>
      <c r="G234" s="311"/>
      <c r="H234" s="311"/>
      <c r="J234" s="320"/>
      <c r="K234" s="308"/>
      <c r="L234" s="308"/>
    </row>
    <row r="235" spans="1:18" s="176" customFormat="1" ht="15" customHeight="1" x14ac:dyDescent="0.25">
      <c r="A235" s="319"/>
      <c r="B235" s="345" t="s">
        <v>230</v>
      </c>
      <c r="C235" s="345" t="s">
        <v>231</v>
      </c>
      <c r="E235" s="350" t="s">
        <v>232</v>
      </c>
      <c r="F235" s="311"/>
      <c r="G235" s="311"/>
      <c r="H235" s="311"/>
      <c r="J235" s="320"/>
      <c r="K235" s="308"/>
      <c r="L235" s="394" t="s">
        <v>104</v>
      </c>
      <c r="M235" s="394" t="s">
        <v>105</v>
      </c>
      <c r="N235" s="394" t="s">
        <v>250</v>
      </c>
      <c r="O235" s="394" t="s">
        <v>252</v>
      </c>
      <c r="P235" s="394" t="s">
        <v>253</v>
      </c>
      <c r="Q235" s="394" t="s">
        <v>254</v>
      </c>
      <c r="R235" s="394" t="s">
        <v>255</v>
      </c>
    </row>
    <row r="236" spans="1:18" s="176" customFormat="1" ht="15" customHeight="1" x14ac:dyDescent="0.25">
      <c r="A236" s="319"/>
      <c r="B236" s="354" t="str">
        <f t="shared" ref="B236:B247" ca="1" si="10">IF(OFFSET(StPeriods,K236,0)&lt;&gt;"",CONCATENATE(OFFSET(StPeriods,K236,0)," - ",OFFSET(EndPeriods,K236,0)),"")</f>
        <v>01/07/2023 - 30/06/2024</v>
      </c>
      <c r="C236" s="354" t="str">
        <f t="shared" ref="C236:C247" ca="1" si="11">IF(B236&lt;&gt;"",IF(OFFSET(EndPeriods,K236,-3)="UP","Unsegregated Period","Deemed Segregation Period"),"")</f>
        <v>Unsegregated Period</v>
      </c>
      <c r="D236" s="355"/>
      <c r="E236" s="356" t="str">
        <f ca="1">IF(C236&lt;&gt;"",IF(C236="Unsegregated Period","Earnings received in this period must use the actuary's tax exempt percentage.","The Segregated Method must be used to claim ECPI on earnings received in this period."),"")</f>
        <v>Earnings received in this period must use the actuary's tax exempt percentage.</v>
      </c>
      <c r="F236" s="352"/>
      <c r="G236" s="352"/>
      <c r="H236" s="352"/>
      <c r="I236" s="351"/>
      <c r="J236" s="320"/>
      <c r="K236" s="308">
        <v>1</v>
      </c>
      <c r="L236" s="395">
        <f t="shared" ref="L236:L247" ca="1" si="12">IF(B236="","",VALUE(LEFT(B236,10)))</f>
        <v>45108</v>
      </c>
      <c r="M236" s="396">
        <f t="shared" ref="M236:M247" ca="1" si="13">IF(B236="","",VALUE(RIGHT(B236,10)))</f>
        <v>45473</v>
      </c>
      <c r="N236" s="397" t="str">
        <f ca="1">IF(C236&lt;&gt;"",IF(LEFT(C236)="D","DSP","USP"),"")</f>
        <v>USP</v>
      </c>
      <c r="O236" s="398" t="str">
        <f ca="1">IF($N236="DSP",VLOOKUP($L236,GL!$BQ$4:$BV$369,3),"")</f>
        <v/>
      </c>
      <c r="P236" s="398" t="str">
        <f ca="1">IF($N236="DSP",VLOOKUP($L236,GL!$BQ$4:$BV$369,4),"")</f>
        <v/>
      </c>
      <c r="Q236" s="398" t="str">
        <f ca="1">IF($N236="DSP",VLOOKUP($L236,GL!$BQ$4:$BV$369,5),"")</f>
        <v/>
      </c>
      <c r="R236" s="399" t="str">
        <f ca="1">IF($N236="DSP",VLOOKUP($L236,GL!$BQ$4:$BV$369,6),"")</f>
        <v/>
      </c>
    </row>
    <row r="237" spans="1:18" s="176" customFormat="1" ht="15" customHeight="1" x14ac:dyDescent="0.25">
      <c r="A237" s="319"/>
      <c r="B237" s="354" t="str">
        <f t="shared" ca="1" si="10"/>
        <v/>
      </c>
      <c r="C237" s="354" t="str">
        <f t="shared" ca="1" si="11"/>
        <v/>
      </c>
      <c r="D237" s="355"/>
      <c r="E237" s="356" t="str">
        <f t="shared" ref="E237:E243" ca="1" si="14">IF(C237&lt;&gt;"",IF(C237="Unsegregated Period","Earnings received in this period must use the actuary's tax exempt percentage.","The Segregated Method must be used to claim ECPI on earnings received in this period."),"")</f>
        <v/>
      </c>
      <c r="F237" s="352"/>
      <c r="G237" s="352"/>
      <c r="H237" s="352"/>
      <c r="I237" s="351"/>
      <c r="J237" s="320"/>
      <c r="K237" s="308">
        <v>2</v>
      </c>
      <c r="L237" s="400" t="str">
        <f t="shared" ca="1" si="12"/>
        <v/>
      </c>
      <c r="M237" s="401" t="str">
        <f t="shared" ca="1" si="13"/>
        <v/>
      </c>
      <c r="N237" s="394" t="str">
        <f t="shared" ref="N237:N247" ca="1" si="15">IF(C237&lt;&gt;"",IF(LEFT(C237)="D","DSP","USP"),"")</f>
        <v/>
      </c>
      <c r="O237" s="402" t="str">
        <f ca="1">IF($N237="DSP",VLOOKUP($L237,GL!$BQ$4:$BV$369,3),"")</f>
        <v/>
      </c>
      <c r="P237" s="402" t="str">
        <f ca="1">IF($N237="DSP",VLOOKUP($L237,GL!$BQ$4:$BV$369,4),"")</f>
        <v/>
      </c>
      <c r="Q237" s="402" t="str">
        <f ca="1">IF($N237="DSP",VLOOKUP($L237,GL!$BQ$4:$BV$369,5),"")</f>
        <v/>
      </c>
      <c r="R237" s="403" t="str">
        <f ca="1">IF($N237="DSP",VLOOKUP($L237,GL!$BQ$4:$BV$369,6),"")</f>
        <v/>
      </c>
    </row>
    <row r="238" spans="1:18" s="176" customFormat="1" ht="15" customHeight="1" x14ac:dyDescent="0.25">
      <c r="A238" s="319"/>
      <c r="B238" s="354" t="str">
        <f t="shared" ca="1" si="10"/>
        <v/>
      </c>
      <c r="C238" s="354" t="str">
        <f t="shared" ca="1" si="11"/>
        <v/>
      </c>
      <c r="D238" s="355"/>
      <c r="E238" s="356" t="str">
        <f t="shared" ca="1" si="14"/>
        <v/>
      </c>
      <c r="F238" s="352"/>
      <c r="G238" s="352"/>
      <c r="H238" s="352"/>
      <c r="I238" s="351"/>
      <c r="J238" s="320"/>
      <c r="K238" s="308">
        <v>3</v>
      </c>
      <c r="L238" s="400" t="str">
        <f t="shared" ca="1" si="12"/>
        <v/>
      </c>
      <c r="M238" s="401" t="str">
        <f t="shared" ca="1" si="13"/>
        <v/>
      </c>
      <c r="N238" s="394" t="str">
        <f t="shared" ca="1" si="15"/>
        <v/>
      </c>
      <c r="O238" s="402" t="str">
        <f ca="1">IF($N238="DSP",VLOOKUP($L238,GL!$BQ$4:$BV$369,3),"")</f>
        <v/>
      </c>
      <c r="P238" s="402" t="str">
        <f ca="1">IF($N238="DSP",VLOOKUP($L238,GL!$BQ$4:$BV$369,4),"")</f>
        <v/>
      </c>
      <c r="Q238" s="402" t="str">
        <f ca="1">IF($N238="DSP",VLOOKUP($L238,GL!$BQ$4:$BV$369,5),"")</f>
        <v/>
      </c>
      <c r="R238" s="403" t="str">
        <f ca="1">IF($N238="DSP",VLOOKUP($L238,GL!$BQ$4:$BV$369,6),"")</f>
        <v/>
      </c>
    </row>
    <row r="239" spans="1:18" s="176" customFormat="1" ht="15" customHeight="1" x14ac:dyDescent="0.25">
      <c r="A239" s="319"/>
      <c r="B239" s="354" t="str">
        <f ca="1">IF(OFFSET(StPeriods,K239,0)&lt;&gt;"",CONCATENATE(OFFSET(StPeriods,K239,0)," - ",OFFSET(EndPeriods,K239,0)),"")</f>
        <v/>
      </c>
      <c r="C239" s="354" t="str">
        <f t="shared" ca="1" si="11"/>
        <v/>
      </c>
      <c r="D239" s="355"/>
      <c r="E239" s="356" t="str">
        <f t="shared" ca="1" si="14"/>
        <v/>
      </c>
      <c r="F239" s="352"/>
      <c r="G239" s="352"/>
      <c r="H239" s="352"/>
      <c r="I239" s="351"/>
      <c r="J239" s="320"/>
      <c r="K239" s="308">
        <v>4</v>
      </c>
      <c r="L239" s="400" t="str">
        <f t="shared" ca="1" si="12"/>
        <v/>
      </c>
      <c r="M239" s="401" t="str">
        <f t="shared" ca="1" si="13"/>
        <v/>
      </c>
      <c r="N239" s="394" t="str">
        <f t="shared" ca="1" si="15"/>
        <v/>
      </c>
      <c r="O239" s="402" t="str">
        <f ca="1">IF($N239="DSP",VLOOKUP($L239,GL!$BQ$4:$BV$369,3),"")</f>
        <v/>
      </c>
      <c r="P239" s="402" t="str">
        <f ca="1">IF($N239="DSP",VLOOKUP($L239,GL!$BQ$4:$BV$369,4),"")</f>
        <v/>
      </c>
      <c r="Q239" s="402" t="str">
        <f ca="1">IF($N239="DSP",VLOOKUP($L239,GL!$BQ$4:$BV$369,5),"")</f>
        <v/>
      </c>
      <c r="R239" s="403" t="str">
        <f ca="1">IF($N239="DSP",VLOOKUP($L239,GL!$BQ$4:$BV$369,6),"")</f>
        <v/>
      </c>
    </row>
    <row r="240" spans="1:18" s="176" customFormat="1" ht="15" customHeight="1" x14ac:dyDescent="0.25">
      <c r="A240" s="319"/>
      <c r="B240" s="354" t="str">
        <f t="shared" ca="1" si="10"/>
        <v/>
      </c>
      <c r="C240" s="354" t="str">
        <f t="shared" ca="1" si="11"/>
        <v/>
      </c>
      <c r="D240" s="355"/>
      <c r="E240" s="356" t="str">
        <f t="shared" ca="1" si="14"/>
        <v/>
      </c>
      <c r="F240" s="352"/>
      <c r="G240" s="352"/>
      <c r="H240" s="352"/>
      <c r="I240" s="351"/>
      <c r="J240" s="320"/>
      <c r="K240" s="308">
        <v>5</v>
      </c>
      <c r="L240" s="400" t="str">
        <f t="shared" ca="1" si="12"/>
        <v/>
      </c>
      <c r="M240" s="401" t="str">
        <f t="shared" ca="1" si="13"/>
        <v/>
      </c>
      <c r="N240" s="394" t="str">
        <f t="shared" ca="1" si="15"/>
        <v/>
      </c>
      <c r="O240" s="402" t="str">
        <f ca="1">IF($N240="DSP",VLOOKUP($L240,GL!$BQ$4:$BV$369,3),"")</f>
        <v/>
      </c>
      <c r="P240" s="402" t="str">
        <f ca="1">IF($N240="DSP",VLOOKUP($L240,GL!$BQ$4:$BV$369,4),"")</f>
        <v/>
      </c>
      <c r="Q240" s="402" t="str">
        <f ca="1">IF($N240="DSP",VLOOKUP($L240,GL!$BQ$4:$BV$369,5),"")</f>
        <v/>
      </c>
      <c r="R240" s="403" t="str">
        <f ca="1">IF($N240="DSP",VLOOKUP($L240,GL!$BQ$4:$BV$369,6),"")</f>
        <v/>
      </c>
    </row>
    <row r="241" spans="1:18" s="176" customFormat="1" ht="15" customHeight="1" x14ac:dyDescent="0.25">
      <c r="A241" s="319"/>
      <c r="B241" s="354" t="str">
        <f t="shared" ca="1" si="10"/>
        <v/>
      </c>
      <c r="C241" s="354" t="str">
        <f t="shared" ca="1" si="11"/>
        <v/>
      </c>
      <c r="D241" s="355"/>
      <c r="E241" s="356" t="str">
        <f t="shared" ca="1" si="14"/>
        <v/>
      </c>
      <c r="F241" s="352"/>
      <c r="G241" s="352"/>
      <c r="H241" s="352"/>
      <c r="I241" s="351"/>
      <c r="J241" s="320"/>
      <c r="K241" s="308">
        <v>6</v>
      </c>
      <c r="L241" s="400" t="str">
        <f t="shared" ca="1" si="12"/>
        <v/>
      </c>
      <c r="M241" s="401" t="str">
        <f t="shared" ca="1" si="13"/>
        <v/>
      </c>
      <c r="N241" s="394" t="str">
        <f t="shared" ca="1" si="15"/>
        <v/>
      </c>
      <c r="O241" s="402" t="str">
        <f ca="1">IF($N241="DSP",VLOOKUP($L241,GL!$BQ$4:$BV$369,3),"")</f>
        <v/>
      </c>
      <c r="P241" s="402" t="str">
        <f ca="1">IF($N241="DSP",VLOOKUP($L241,GL!$BQ$4:$BV$369,4),"")</f>
        <v/>
      </c>
      <c r="Q241" s="402" t="str">
        <f ca="1">IF($N241="DSP",VLOOKUP($L241,GL!$BQ$4:$BV$369,5),"")</f>
        <v/>
      </c>
      <c r="R241" s="403" t="str">
        <f ca="1">IF($N241="DSP",VLOOKUP($L241,GL!$BQ$4:$BV$369,6),"")</f>
        <v/>
      </c>
    </row>
    <row r="242" spans="1:18" s="176" customFormat="1" ht="15" customHeight="1" x14ac:dyDescent="0.25">
      <c r="A242" s="319"/>
      <c r="B242" s="354" t="str">
        <f t="shared" ca="1" si="10"/>
        <v/>
      </c>
      <c r="C242" s="354" t="str">
        <f t="shared" ca="1" si="11"/>
        <v/>
      </c>
      <c r="D242" s="355"/>
      <c r="E242" s="356" t="str">
        <f t="shared" ca="1" si="14"/>
        <v/>
      </c>
      <c r="F242" s="352"/>
      <c r="G242" s="352"/>
      <c r="H242" s="352"/>
      <c r="I242" s="351"/>
      <c r="J242" s="320"/>
      <c r="K242" s="308">
        <v>7</v>
      </c>
      <c r="L242" s="400" t="str">
        <f t="shared" ca="1" si="12"/>
        <v/>
      </c>
      <c r="M242" s="401" t="str">
        <f t="shared" ca="1" si="13"/>
        <v/>
      </c>
      <c r="N242" s="394" t="str">
        <f t="shared" ca="1" si="15"/>
        <v/>
      </c>
      <c r="O242" s="402" t="str">
        <f ca="1">IF($N242="DSP",VLOOKUP($L242,GL!$BQ$4:$BV$369,3),"")</f>
        <v/>
      </c>
      <c r="P242" s="402" t="str">
        <f ca="1">IF($N242="DSP",VLOOKUP($L242,GL!$BQ$4:$BV$369,4),"")</f>
        <v/>
      </c>
      <c r="Q242" s="402" t="str">
        <f ca="1">IF($N242="DSP",VLOOKUP($L242,GL!$BQ$4:$BV$369,5),"")</f>
        <v/>
      </c>
      <c r="R242" s="403" t="str">
        <f ca="1">IF($N242="DSP",VLOOKUP($L242,GL!$BQ$4:$BV$369,6),"")</f>
        <v/>
      </c>
    </row>
    <row r="243" spans="1:18" s="176" customFormat="1" ht="15" customHeight="1" x14ac:dyDescent="0.25">
      <c r="A243" s="319"/>
      <c r="B243" s="354" t="str">
        <f t="shared" ca="1" si="10"/>
        <v/>
      </c>
      <c r="C243" s="354" t="str">
        <f t="shared" ca="1" si="11"/>
        <v/>
      </c>
      <c r="D243" s="355"/>
      <c r="E243" s="356" t="str">
        <f t="shared" ca="1" si="14"/>
        <v/>
      </c>
      <c r="F243" s="352"/>
      <c r="G243" s="352"/>
      <c r="H243" s="352"/>
      <c r="I243" s="351"/>
      <c r="J243" s="320"/>
      <c r="K243" s="308">
        <v>8</v>
      </c>
      <c r="L243" s="400" t="str">
        <f t="shared" ca="1" si="12"/>
        <v/>
      </c>
      <c r="M243" s="401" t="str">
        <f t="shared" ca="1" si="13"/>
        <v/>
      </c>
      <c r="N243" s="394" t="str">
        <f t="shared" ca="1" si="15"/>
        <v/>
      </c>
      <c r="O243" s="402" t="str">
        <f ca="1">IF($N243="DSP",VLOOKUP($L243,GL!$BQ$4:$BV$369,3),"")</f>
        <v/>
      </c>
      <c r="P243" s="402" t="str">
        <f ca="1">IF($N243="DSP",VLOOKUP($L243,GL!$BQ$4:$BV$369,4),"")</f>
        <v/>
      </c>
      <c r="Q243" s="402" t="str">
        <f ca="1">IF($N243="DSP",VLOOKUP($L243,GL!$BQ$4:$BV$369,5),"")</f>
        <v/>
      </c>
      <c r="R243" s="403" t="str">
        <f ca="1">IF($N243="DSP",VLOOKUP($L243,GL!$BQ$4:$BV$369,6),"")</f>
        <v/>
      </c>
    </row>
    <row r="244" spans="1:18" s="176" customFormat="1" ht="15" customHeight="1" x14ac:dyDescent="0.25">
      <c r="A244" s="319"/>
      <c r="B244" s="354" t="str">
        <f t="shared" ca="1" si="10"/>
        <v/>
      </c>
      <c r="C244" s="354" t="str">
        <f t="shared" ca="1" si="11"/>
        <v/>
      </c>
      <c r="D244" s="355"/>
      <c r="E244" s="356" t="str">
        <f ca="1">IF(C244&lt;&gt;"",IF(C244="Unsegregated Period","Earnings received in this period must use the actuary's tax exempt percentage.","The Segregated Method must be used to claim ECPI on earnings received in this period."),"")</f>
        <v/>
      </c>
      <c r="F244" s="352"/>
      <c r="G244" s="352"/>
      <c r="H244" s="352"/>
      <c r="I244" s="351"/>
      <c r="J244" s="320"/>
      <c r="K244" s="308">
        <v>9</v>
      </c>
      <c r="L244" s="400" t="str">
        <f t="shared" ca="1" si="12"/>
        <v/>
      </c>
      <c r="M244" s="401" t="str">
        <f t="shared" ca="1" si="13"/>
        <v/>
      </c>
      <c r="N244" s="394" t="str">
        <f t="shared" ca="1" si="15"/>
        <v/>
      </c>
      <c r="O244" s="402" t="str">
        <f ca="1">IF($N244="DSP",VLOOKUP($L244,GL!$BQ$4:$BV$369,3),"")</f>
        <v/>
      </c>
      <c r="P244" s="402" t="str">
        <f ca="1">IF($N244="DSP",VLOOKUP($L244,GL!$BQ$4:$BV$369,4),"")</f>
        <v/>
      </c>
      <c r="Q244" s="402" t="str">
        <f ca="1">IF($N244="DSP",VLOOKUP($L244,GL!$BQ$4:$BV$369,5),"")</f>
        <v/>
      </c>
      <c r="R244" s="403" t="str">
        <f ca="1">IF($N244="DSP",VLOOKUP($L244,GL!$BQ$4:$BV$369,6),"")</f>
        <v/>
      </c>
    </row>
    <row r="245" spans="1:18" s="176" customFormat="1" ht="15" customHeight="1" x14ac:dyDescent="0.25">
      <c r="A245" s="319"/>
      <c r="B245" s="354" t="str">
        <f t="shared" ca="1" si="10"/>
        <v/>
      </c>
      <c r="C245" s="354" t="str">
        <f t="shared" ca="1" si="11"/>
        <v/>
      </c>
      <c r="D245" s="355"/>
      <c r="E245" s="356" t="str">
        <f ca="1">IF(C245&lt;&gt;"",IF(C245="Unsegregated Period","Earnings received in this period must use the actuary's tax exempt percentage.","The Segregated Method must be used to claim ECPI on earnings received in this period."),"")</f>
        <v/>
      </c>
      <c r="F245" s="352"/>
      <c r="G245" s="352"/>
      <c r="H245" s="352"/>
      <c r="I245" s="351"/>
      <c r="J245" s="320"/>
      <c r="K245" s="308">
        <v>10</v>
      </c>
      <c r="L245" s="400" t="str">
        <f t="shared" ca="1" si="12"/>
        <v/>
      </c>
      <c r="M245" s="401" t="str">
        <f t="shared" ca="1" si="13"/>
        <v/>
      </c>
      <c r="N245" s="394" t="str">
        <f t="shared" ca="1" si="15"/>
        <v/>
      </c>
      <c r="O245" s="402" t="str">
        <f ca="1">IF($N245="DSP",VLOOKUP($L245,GL!$BQ$4:$BV$369,3),"")</f>
        <v/>
      </c>
      <c r="P245" s="402" t="str">
        <f ca="1">IF($N245="DSP",VLOOKUP($L245,GL!$BQ$4:$BV$369,4),"")</f>
        <v/>
      </c>
      <c r="Q245" s="402" t="str">
        <f ca="1">IF($N245="DSP",VLOOKUP($L245,GL!$BQ$4:$BV$369,5),"")</f>
        <v/>
      </c>
      <c r="R245" s="403" t="str">
        <f ca="1">IF($N245="DSP",VLOOKUP($L245,GL!$BQ$4:$BV$369,6),"")</f>
        <v/>
      </c>
    </row>
    <row r="246" spans="1:18" s="176" customFormat="1" ht="15" customHeight="1" x14ac:dyDescent="0.25">
      <c r="A246" s="319"/>
      <c r="B246" s="354" t="str">
        <f t="shared" ca="1" si="10"/>
        <v/>
      </c>
      <c r="C246" s="354" t="str">
        <f t="shared" ca="1" si="11"/>
        <v/>
      </c>
      <c r="D246" s="355"/>
      <c r="E246" s="356" t="str">
        <f ca="1">IF(C246&lt;&gt;"",IF(C246="Unsegregated Period","Earnings received in this period must use the actuary's tax exempt percentage.","The Segregated Method must be used to claim ECPI on earnings received in this period."),"")</f>
        <v/>
      </c>
      <c r="F246" s="352"/>
      <c r="G246" s="352"/>
      <c r="H246" s="352"/>
      <c r="I246" s="351"/>
      <c r="J246" s="320"/>
      <c r="K246" s="308">
        <v>11</v>
      </c>
      <c r="L246" s="400" t="str">
        <f t="shared" ca="1" si="12"/>
        <v/>
      </c>
      <c r="M246" s="401" t="str">
        <f t="shared" ca="1" si="13"/>
        <v/>
      </c>
      <c r="N246" s="394" t="str">
        <f t="shared" ca="1" si="15"/>
        <v/>
      </c>
      <c r="O246" s="402" t="str">
        <f ca="1">IF($N246="DSP",VLOOKUP($L246,GL!$BQ$4:$BV$369,3),"")</f>
        <v/>
      </c>
      <c r="P246" s="402" t="str">
        <f ca="1">IF($N246="DSP",VLOOKUP($L246,GL!$BQ$4:$BV$369,4),"")</f>
        <v/>
      </c>
      <c r="Q246" s="402" t="str">
        <f ca="1">IF($N246="DSP",VLOOKUP($L246,GL!$BQ$4:$BV$369,5),"")</f>
        <v/>
      </c>
      <c r="R246" s="403" t="str">
        <f ca="1">IF($N246="DSP",VLOOKUP($L246,GL!$BQ$4:$BV$369,6),"")</f>
        <v/>
      </c>
    </row>
    <row r="247" spans="1:18" s="176" customFormat="1" ht="15" customHeight="1" x14ac:dyDescent="0.25">
      <c r="A247" s="319"/>
      <c r="B247" s="354" t="str">
        <f t="shared" ca="1" si="10"/>
        <v/>
      </c>
      <c r="C247" s="354" t="str">
        <f t="shared" ca="1" si="11"/>
        <v/>
      </c>
      <c r="D247" s="355"/>
      <c r="E247" s="356" t="str">
        <f ca="1">IF(C247&lt;&gt;"",IF(C247="Unsegregated Period","Earnings received in this period must use the actuary's tax exempt percentage.","The Segregated Method must be used to claim ECPI on earnings received in this period."),"")</f>
        <v/>
      </c>
      <c r="F247" s="352"/>
      <c r="G247" s="352"/>
      <c r="H247" s="352"/>
      <c r="I247" s="351"/>
      <c r="J247" s="320"/>
      <c r="K247" s="308">
        <v>12</v>
      </c>
      <c r="L247" s="404" t="str">
        <f t="shared" ca="1" si="12"/>
        <v/>
      </c>
      <c r="M247" s="405" t="str">
        <f t="shared" ca="1" si="13"/>
        <v/>
      </c>
      <c r="N247" s="406" t="str">
        <f t="shared" ca="1" si="15"/>
        <v/>
      </c>
      <c r="O247" s="407" t="str">
        <f ca="1">IF($N247="DSP",VLOOKUP($L247,GL!$BQ$4:$BV$369,3),"")</f>
        <v/>
      </c>
      <c r="P247" s="407" t="str">
        <f ca="1">IF($N247="DSP",VLOOKUP($L247,GL!$BQ$4:$BV$369,4),"")</f>
        <v/>
      </c>
      <c r="Q247" s="407" t="str">
        <f ca="1">IF($N247="DSP",VLOOKUP($L247,GL!$BQ$4:$BV$369,5),"")</f>
        <v/>
      </c>
      <c r="R247" s="408" t="str">
        <f ca="1">IF($N247="DSP",VLOOKUP($L247,GL!$BQ$4:$BV$369,6),"")</f>
        <v/>
      </c>
    </row>
    <row r="248" spans="1:18" s="176" customFormat="1" ht="15" customHeight="1" x14ac:dyDescent="0.25">
      <c r="A248" s="319"/>
      <c r="B248" s="329"/>
      <c r="C248" s="345"/>
      <c r="D248" s="346"/>
      <c r="E248" s="311"/>
      <c r="F248" s="311"/>
      <c r="G248" s="311"/>
      <c r="H248" s="311"/>
      <c r="J248" s="320"/>
      <c r="K248" s="308"/>
      <c r="L248" s="308" t="s">
        <v>251</v>
      </c>
    </row>
    <row r="249" spans="1:18" s="176" customFormat="1" ht="15" customHeight="1" x14ac:dyDescent="0.25">
      <c r="A249" s="319"/>
      <c r="B249" s="461" t="str">
        <f ca="1">IF(OR(C237="Unsegregated Period",C238&lt;&gt;""),"Given the multiple periods above, it is best we use interim balances from the start of the Unsegregated Periods in our calculation of the percentage.","")</f>
        <v/>
      </c>
      <c r="C249" s="461"/>
      <c r="D249" s="461"/>
      <c r="E249" s="461"/>
      <c r="F249" s="461"/>
      <c r="G249" s="461"/>
      <c r="H249" s="461"/>
      <c r="I249" s="461"/>
      <c r="J249" s="320"/>
      <c r="K249" s="308"/>
      <c r="L249" s="176" t="str">
        <f ca="1">LOOKUP(2,1/(N236:N247&lt;&gt;""),N236:N247)</f>
        <v>USP</v>
      </c>
    </row>
    <row r="250" spans="1:18" s="176" customFormat="1" ht="15" customHeight="1" x14ac:dyDescent="0.25">
      <c r="A250" s="319"/>
      <c r="B250" s="329"/>
      <c r="D250" s="346"/>
      <c r="E250" s="311"/>
      <c r="F250" s="311"/>
      <c r="G250" s="311"/>
      <c r="H250" s="311"/>
      <c r="J250" s="320"/>
      <c r="K250" s="308"/>
      <c r="L250" s="308"/>
    </row>
    <row r="251" spans="1:18" s="176" customFormat="1" ht="15" customHeight="1" x14ac:dyDescent="0.25">
      <c r="A251" s="319"/>
      <c r="D251" s="346"/>
      <c r="E251" s="311"/>
      <c r="F251" s="311"/>
      <c r="G251" s="311"/>
      <c r="H251" s="251" t="str">
        <f ca="1">IF(OR(C237="Unsegregated Period",C238&lt;&gt;""),"Can you provide the member Retirement Phase (Pension) account balances at the start dates of the Unsegregated Periods (see below)?  ","")</f>
        <v/>
      </c>
      <c r="I251" s="430" t="s">
        <v>288</v>
      </c>
      <c r="J251" s="320"/>
      <c r="K251" s="308">
        <f>IF(I251="Yes",1,0)</f>
        <v>1</v>
      </c>
      <c r="L251" s="308"/>
    </row>
    <row r="252" spans="1:18" s="176" customFormat="1" ht="15" customHeight="1" x14ac:dyDescent="0.25">
      <c r="A252" s="319"/>
      <c r="B252" s="329"/>
      <c r="D252" s="346"/>
      <c r="E252" s="311"/>
      <c r="F252" s="311"/>
      <c r="G252" s="311"/>
      <c r="H252" s="311"/>
      <c r="J252" s="320"/>
      <c r="K252" s="308"/>
      <c r="L252" s="308"/>
    </row>
    <row r="253" spans="1:18" s="176" customFormat="1" ht="15" customHeight="1" x14ac:dyDescent="0.25">
      <c r="A253" s="319"/>
      <c r="D253" s="346"/>
      <c r="E253" s="311"/>
      <c r="F253" s="311"/>
      <c r="G253" s="311"/>
      <c r="H253" s="251" t="str">
        <f ca="1">IF(H251&lt;&gt;"",IF(I251="Yes","Please enter the Retirement Phase balances for those dates in the section below.  ","Are you able to provide the total Fund Balances (total asset values) at the start of the Unsegregated Periods (below)?  "),"")</f>
        <v/>
      </c>
      <c r="I253" s="418"/>
      <c r="J253" s="320"/>
      <c r="K253" s="308">
        <f>IF(I253="Yes",1,0)</f>
        <v>0</v>
      </c>
      <c r="L253" s="308"/>
    </row>
    <row r="254" spans="1:18" s="176" customFormat="1" ht="15" customHeight="1" x14ac:dyDescent="0.25">
      <c r="A254" s="319"/>
      <c r="D254" s="346"/>
      <c r="E254" s="311"/>
      <c r="F254" s="311"/>
      <c r="G254" s="311"/>
      <c r="H254" s="311"/>
      <c r="J254" s="320"/>
      <c r="K254" s="308"/>
      <c r="L254" s="308"/>
    </row>
    <row r="255" spans="1:18" s="176" customFormat="1" ht="15" customHeight="1" x14ac:dyDescent="0.25">
      <c r="A255" s="319"/>
      <c r="B255" s="469" t="str">
        <f>IF(AND(I251="No",I253="No"),"In the event of no interim balances being provided, Act2 will assume uniformity of earnings throughout the course of the income year.","")</f>
        <v/>
      </c>
      <c r="C255" s="469"/>
      <c r="D255" s="469"/>
      <c r="E255" s="469"/>
      <c r="F255" s="469"/>
      <c r="G255" s="469"/>
      <c r="H255" s="469"/>
      <c r="I255" s="469"/>
      <c r="J255" s="320"/>
      <c r="K255" s="308"/>
      <c r="L255" s="308"/>
    </row>
    <row r="256" spans="1:18" s="176" customFormat="1" ht="15" customHeight="1" x14ac:dyDescent="0.25">
      <c r="A256" s="319"/>
      <c r="D256" s="362">
        <f>mname1</f>
        <v>0</v>
      </c>
      <c r="E256" s="362" t="str">
        <f>IF(ISBLANK(mname2),"",mname2)</f>
        <v/>
      </c>
      <c r="F256" s="362" t="str">
        <f>IF(ISBLANK(mname3),"",mname3)</f>
        <v/>
      </c>
      <c r="G256" s="362" t="str">
        <f>IF(ISBLANK(mname4),"",mname4)</f>
        <v/>
      </c>
      <c r="H256" s="311" t="s">
        <v>82</v>
      </c>
      <c r="J256" s="320"/>
      <c r="K256" s="364" t="s">
        <v>233</v>
      </c>
      <c r="L256" s="364" t="s">
        <v>0</v>
      </c>
      <c r="M256" s="364" t="s">
        <v>1</v>
      </c>
      <c r="N256" s="364" t="s">
        <v>2</v>
      </c>
      <c r="O256" s="364" t="s">
        <v>3</v>
      </c>
      <c r="P256" s="364" t="s">
        <v>82</v>
      </c>
      <c r="Q256" s="364"/>
    </row>
    <row r="257" spans="1:17" s="176" customFormat="1" ht="15" customHeight="1" x14ac:dyDescent="0.25">
      <c r="A257" s="319"/>
      <c r="B257" s="311" t="s">
        <v>236</v>
      </c>
      <c r="D257" s="363">
        <f>msname1</f>
        <v>0</v>
      </c>
      <c r="E257" s="362" t="str">
        <f>IF(ISBLANK(msname2),"",msname2)</f>
        <v/>
      </c>
      <c r="F257" s="362" t="str">
        <f>IF(ISBLANK(msname3),"",msname3)</f>
        <v/>
      </c>
      <c r="G257" s="362" t="str">
        <f>IF(ISBLANK(msname4),"",msname4)</f>
        <v/>
      </c>
      <c r="H257" s="311" t="s">
        <v>88</v>
      </c>
      <c r="J257" s="320"/>
      <c r="K257" s="364" t="s">
        <v>234</v>
      </c>
      <c r="L257" s="364" t="s">
        <v>235</v>
      </c>
      <c r="M257" s="364" t="s">
        <v>235</v>
      </c>
      <c r="N257" s="364" t="s">
        <v>235</v>
      </c>
      <c r="O257" s="364" t="s">
        <v>235</v>
      </c>
      <c r="P257" s="364" t="s">
        <v>88</v>
      </c>
      <c r="Q257" s="364"/>
    </row>
    <row r="258" spans="1:17" s="176" customFormat="1" ht="15" customHeight="1" x14ac:dyDescent="0.25">
      <c r="A258" s="319"/>
      <c r="B258" s="361" t="str">
        <f ca="1">IF(C236="Deemed Segregation Period",IF(M236=end_year,"",M236+1),"")</f>
        <v/>
      </c>
      <c r="C258" s="358"/>
      <c r="D258" s="417" t="str">
        <f ca="1">IF($B258&lt;end_year,VLOOKUP($B258,PensionBals,3),IF($B259&lt;end_year,VLOOKUP($B259,PensionBals,3),""))</f>
        <v/>
      </c>
      <c r="E258" s="417" t="str">
        <f ca="1">IF($B258&lt;end_year,VLOOKUP($B258,PensionBals,4),IF($B259&lt;end_year,VLOOKUP($B259,PensionBals,4),""))</f>
        <v/>
      </c>
      <c r="F258" s="417" t="str">
        <f ca="1">IF($B258&lt;end_year,VLOOKUP($B258,PensionBals,5),IF($B259&lt;end_year,VLOOKUP($B259,PensionBals,5),""))</f>
        <v/>
      </c>
      <c r="G258" s="417" t="str">
        <f ca="1">IF($B258&lt;end_year,VLOOKUP($B258,PensionBals,6),IF($B259&lt;end_year,VLOOKUP($B259,PensionBals,6),""))</f>
        <v/>
      </c>
      <c r="H258" s="370" t="str">
        <f ca="1">IF(B258&lt;&gt;"",B258,IF(B259&lt;&gt;"",B259,""))</f>
        <v/>
      </c>
      <c r="I258" s="357"/>
      <c r="J258" s="320"/>
      <c r="K258" s="365" t="str">
        <f ca="1">IF(B258&lt;&gt;"",B258,IF(B259&lt;&gt;"",B259,""))</f>
        <v/>
      </c>
      <c r="L258" s="367" t="str">
        <f ca="1">IF(AND($K258&lt;&gt;"",D259&lt;&gt;"",$K$251=1),D259,D258)</f>
        <v/>
      </c>
      <c r="M258" s="368" t="str">
        <f ca="1">IF(AND($K258&lt;&gt;"",E259&lt;&gt;"",$K$251=1),E259,E258)</f>
        <v/>
      </c>
      <c r="N258" s="368" t="str">
        <f ca="1">IF(AND($K258&lt;&gt;"",F259&lt;&gt;"",$K$251=1),F259,F258)</f>
        <v/>
      </c>
      <c r="O258" s="368" t="str">
        <f ca="1">IF(AND($K258&lt;&gt;"",G259&lt;&gt;"",$K$251=1),G259,G258)</f>
        <v/>
      </c>
      <c r="P258" s="369">
        <f ca="1">IF(AND(K258&lt;&gt;"",$K$251=0,$K$253=1),H259,SUM(L258:O258))</f>
        <v>0</v>
      </c>
    </row>
    <row r="259" spans="1:17" s="176" customFormat="1" ht="15" customHeight="1" x14ac:dyDescent="0.25">
      <c r="A259" s="319"/>
      <c r="B259" s="360" t="str">
        <f t="shared" ref="B259:B269" ca="1" si="16">IF(C237="Deemed Segregation Period",IF(M237=end_year,"",M237+1),"")</f>
        <v/>
      </c>
      <c r="C259" s="359" t="str">
        <f ca="1">IF($I$251="Yes",IF(AND(B258="",B259=""),"","Retirement Phase"),"")</f>
        <v/>
      </c>
      <c r="D259" s="419">
        <v>220000</v>
      </c>
      <c r="E259" s="419"/>
      <c r="F259" s="419"/>
      <c r="G259" s="419"/>
      <c r="H259" s="420"/>
      <c r="I259" s="306"/>
      <c r="J259" s="320"/>
      <c r="K259" s="365" t="str">
        <f ca="1">IF(B260&lt;&gt;"",B260,IF(B261&lt;&gt;"",B261,""))</f>
        <v/>
      </c>
      <c r="L259" s="367" t="str">
        <f ca="1">IF(AND($K259&lt;&gt;"",D261&lt;&gt;"",$K$251=1),D261,D260)</f>
        <v/>
      </c>
      <c r="M259" s="368" t="str">
        <f ca="1">IF(AND($K259&lt;&gt;"",E261&lt;&gt;"",$K$251=1),E261,E260)</f>
        <v/>
      </c>
      <c r="N259" s="368" t="str">
        <f ca="1">IF(AND($K259&lt;&gt;"",F261&lt;&gt;"",$K$251=1),F261,F260)</f>
        <v/>
      </c>
      <c r="O259" s="368" t="str">
        <f ca="1">IF(AND($K259&lt;&gt;"",G261&lt;&gt;"",$K$251=1),G261,G260)</f>
        <v/>
      </c>
      <c r="P259" s="369">
        <f ca="1">IF(AND(K259&lt;&gt;"",$K$251=0,$K$253=1),H261,SUM(L259:O259))</f>
        <v>0</v>
      </c>
    </row>
    <row r="260" spans="1:17" s="176" customFormat="1" ht="15" customHeight="1" x14ac:dyDescent="0.25">
      <c r="A260" s="319"/>
      <c r="B260" s="361" t="str">
        <f t="shared" ca="1" si="16"/>
        <v/>
      </c>
      <c r="C260" s="358"/>
      <c r="D260" s="417" t="str">
        <f ca="1">IF($B260&lt;end_year,VLOOKUP($B260,PensionBals,3),IF($B261&lt;end_year,VLOOKUP($B261,PensionBals,3),""))</f>
        <v/>
      </c>
      <c r="E260" s="417" t="str">
        <f ca="1">IF($B260&lt;end_year,VLOOKUP($B260,PensionBals,4),IF($B261&lt;end_year,VLOOKUP($B261,PensionBals,4),""))</f>
        <v/>
      </c>
      <c r="F260" s="417" t="str">
        <f ca="1">IF($B260&lt;end_year,VLOOKUP($B260,PensionBals,5),IF($B261&lt;end_year,VLOOKUP($B261,PensionBals,5),""))</f>
        <v/>
      </c>
      <c r="G260" s="417" t="str">
        <f ca="1">IF($B260&lt;end_year,VLOOKUP($B260,PensionBals,6),IF($B261&lt;end_year,VLOOKUP($B261,PensionBals,6),""))</f>
        <v/>
      </c>
      <c r="H260" s="370" t="str">
        <f ca="1">IF(B261&lt;&gt;"",B261,"")</f>
        <v/>
      </c>
      <c r="I260" s="357"/>
      <c r="J260" s="320"/>
      <c r="K260" s="365" t="str">
        <f ca="1">IF(B262&lt;&gt;"",B262,IF(B263&lt;&gt;"",B263,""))</f>
        <v/>
      </c>
      <c r="L260" s="367" t="str">
        <f ca="1">IF(AND($K260&lt;&gt;"",D263&lt;&gt;"",$K$251=1),D263,D262)</f>
        <v/>
      </c>
      <c r="M260" s="368" t="str">
        <f ca="1">IF(AND($K260&lt;&gt;"",E263&lt;&gt;"",$K$251=1),E263,E262)</f>
        <v/>
      </c>
      <c r="N260" s="368" t="str">
        <f ca="1">IF(AND($K260&lt;&gt;"",F263&lt;&gt;"",$K$251=1),F263,F262)</f>
        <v/>
      </c>
      <c r="O260" s="368" t="str">
        <f ca="1">IF(AND($K260&lt;&gt;"",G263&lt;&gt;"",$K$251=1),G263,G262)</f>
        <v/>
      </c>
      <c r="P260" s="369">
        <f ca="1">IF(AND(K260&lt;&gt;"",$K$251=0,$K$253=1),H263,SUM(L260:O260))</f>
        <v>0</v>
      </c>
    </row>
    <row r="261" spans="1:17" s="176" customFormat="1" ht="15" customHeight="1" x14ac:dyDescent="0.25">
      <c r="A261" s="319"/>
      <c r="B261" s="360" t="str">
        <f t="shared" ca="1" si="16"/>
        <v/>
      </c>
      <c r="C261" s="359" t="str">
        <f ca="1">IF($I$251="Yes",IF(AND(B260="",B261=""),"","Retirement Phase"),"")</f>
        <v/>
      </c>
      <c r="D261" s="419"/>
      <c r="E261" s="420"/>
      <c r="F261" s="420"/>
      <c r="G261" s="420"/>
      <c r="H261" s="420"/>
      <c r="I261" s="306"/>
      <c r="J261" s="320"/>
      <c r="K261" s="365" t="str">
        <f ca="1">IF(B264&lt;&gt;"",B264,IF(B265&lt;&gt;"",B265,""))</f>
        <v/>
      </c>
      <c r="L261" s="367" t="str">
        <f ca="1">IF(AND($K261&lt;&gt;"",D265&lt;&gt;"",$K$251=1),D265,D264)</f>
        <v/>
      </c>
      <c r="M261" s="368" t="str">
        <f ca="1">IF(AND($K261&lt;&gt;"",E265&lt;&gt;"",$K$251=1),E265,E264)</f>
        <v/>
      </c>
      <c r="N261" s="368" t="str">
        <f ca="1">IF(AND($K261&lt;&gt;"",F265&lt;&gt;"",$K$251=1),F265,F264)</f>
        <v/>
      </c>
      <c r="O261" s="368" t="str">
        <f ca="1">IF(AND($K261&lt;&gt;"",G265&lt;&gt;"",$K$251=1),G265,G264)</f>
        <v/>
      </c>
      <c r="P261" s="369">
        <f ca="1">IF(AND(K261&lt;&gt;"",$K$251=0,$K$253=1),H265,SUM(L261:O261))</f>
        <v>0</v>
      </c>
    </row>
    <row r="262" spans="1:17" s="176" customFormat="1" ht="15" customHeight="1" x14ac:dyDescent="0.25">
      <c r="A262" s="319"/>
      <c r="B262" s="361" t="str">
        <f t="shared" ca="1" si="16"/>
        <v/>
      </c>
      <c r="C262" s="358"/>
      <c r="D262" s="417" t="str">
        <f ca="1">IF($B262&lt;end_year,VLOOKUP($B262,PensionBals,3),IF($B263&lt;end_year,VLOOKUP($B263,PensionBals,3),""))</f>
        <v/>
      </c>
      <c r="E262" s="417" t="str">
        <f ca="1">IF($B262&lt;end_year,VLOOKUP($B262,PensionBals,4),IF($B263&lt;end_year,VLOOKUP($B263,PensionBals,4),""))</f>
        <v/>
      </c>
      <c r="F262" s="417" t="str">
        <f ca="1">IF($B262&lt;end_year,VLOOKUP($B262,PensionBals,5),IF($B263&lt;end_year,VLOOKUP($B263,PensionBals,5),""))</f>
        <v/>
      </c>
      <c r="G262" s="417" t="str">
        <f ca="1">IF($B262&lt;end_year,VLOOKUP($B262,PensionBals,6),IF($B263&lt;end_year,VLOOKUP($B263,PensionBals,6),""))</f>
        <v/>
      </c>
      <c r="H262" s="370" t="str">
        <f ca="1">IF(B263&lt;&gt;"",B263,"")</f>
        <v/>
      </c>
      <c r="I262" s="357"/>
      <c r="J262" s="320"/>
      <c r="K262" s="365" t="str">
        <f ca="1">IF(B266&lt;&gt;"",B266,IF(B267&lt;&gt;"",B267,""))</f>
        <v/>
      </c>
      <c r="L262" s="367" t="str">
        <f ca="1">IF(AND($K262&lt;&gt;"",D267&lt;&gt;"",$K$251=1),D267,D266)</f>
        <v/>
      </c>
      <c r="M262" s="368" t="str">
        <f ca="1">IF(AND($K262&lt;&gt;"",E267&lt;&gt;"",$K$251=1),E267,E266)</f>
        <v/>
      </c>
      <c r="N262" s="368" t="str">
        <f ca="1">IF(AND($K262&lt;&gt;"",F267&lt;&gt;"",$K$251=1),F267,F266)</f>
        <v/>
      </c>
      <c r="O262" s="368" t="str">
        <f ca="1">IF(AND($K262&lt;&gt;"",G267&lt;&gt;"",$K$251=1),G267,G266)</f>
        <v/>
      </c>
      <c r="P262" s="369">
        <f ca="1">IF(AND(K262&lt;&gt;"",$K$251=0,$K$253=1),H267,SUM(L262:O262))</f>
        <v>0</v>
      </c>
    </row>
    <row r="263" spans="1:17" s="176" customFormat="1" ht="15" customHeight="1" x14ac:dyDescent="0.25">
      <c r="A263" s="319"/>
      <c r="B263" s="360" t="str">
        <f t="shared" ca="1" si="16"/>
        <v/>
      </c>
      <c r="C263" s="359" t="str">
        <f ca="1">IF($I$251="Yes",IF(AND(B262="",B263=""),"","Retirement Phase"),"")</f>
        <v/>
      </c>
      <c r="D263" s="419"/>
      <c r="E263" s="420"/>
      <c r="F263" s="420"/>
      <c r="G263" s="420"/>
      <c r="H263" s="420"/>
      <c r="I263" s="306"/>
      <c r="J263" s="320"/>
      <c r="K263" s="365" t="str">
        <f ca="1">IF(B268&lt;&gt;"",B268,IF(B269&lt;&gt;"",B269,""))</f>
        <v/>
      </c>
      <c r="L263" s="367" t="str">
        <f ca="1">IF(AND($K263&lt;&gt;"",D269&lt;&gt;"",$K$251=1),D269,D268)</f>
        <v/>
      </c>
      <c r="M263" s="368" t="str">
        <f ca="1">IF(AND($K263&lt;&gt;"",E269&lt;&gt;"",$K$251=1),E269,E268)</f>
        <v/>
      </c>
      <c r="N263" s="368" t="str">
        <f ca="1">IF(AND($K263&lt;&gt;"",F269&lt;&gt;"",$K$251=1),F269,F268)</f>
        <v/>
      </c>
      <c r="O263" s="368" t="str">
        <f ca="1">IF(AND($K263&lt;&gt;"",G269&lt;&gt;"",$K$251=1),G269,G268)</f>
        <v/>
      </c>
      <c r="P263" s="369">
        <f ca="1">IF(AND(K263&lt;&gt;"",$K$251=0,$K$253=1),H269,SUM(L263:O263))</f>
        <v>0</v>
      </c>
    </row>
    <row r="264" spans="1:17" s="176" customFormat="1" ht="15" customHeight="1" x14ac:dyDescent="0.25">
      <c r="A264" s="319"/>
      <c r="B264" s="361" t="str">
        <f t="shared" ca="1" si="16"/>
        <v/>
      </c>
      <c r="C264" s="358"/>
      <c r="D264" s="417" t="str">
        <f ca="1">IF($B264&lt;end_year,VLOOKUP($B264,PensionBals,3),IF($B265&lt;end_year,VLOOKUP($B265,PensionBals,3),""))</f>
        <v/>
      </c>
      <c r="E264" s="417" t="str">
        <f ca="1">IF($B264&lt;end_year,VLOOKUP($B264,PensionBals,4),IF($B265&lt;end_year,VLOOKUP($B265,PensionBals,4),""))</f>
        <v/>
      </c>
      <c r="F264" s="417" t="str">
        <f ca="1">IF($B264&lt;end_year,VLOOKUP($B264,PensionBals,5),IF($B265&lt;end_year,VLOOKUP($B265,PensionBals,5),""))</f>
        <v/>
      </c>
      <c r="G264" s="417" t="str">
        <f ca="1">IF($B264&lt;end_year,VLOOKUP($B264,PensionBals,6),IF($B265&lt;end_year,VLOOKUP($B265,PensionBals,6),""))</f>
        <v/>
      </c>
      <c r="H264" s="370" t="str">
        <f ca="1">IF(B265&lt;&gt;"",B265,"")</f>
        <v/>
      </c>
      <c r="I264" s="357"/>
      <c r="J264" s="320"/>
      <c r="K264" s="365">
        <f>end_year</f>
        <v>45473</v>
      </c>
      <c r="L264" s="409">
        <f ca="1">GL!CJ368</f>
        <v>0</v>
      </c>
      <c r="M264" s="409">
        <f ca="1">GL!CK368</f>
        <v>0</v>
      </c>
      <c r="N264" s="409">
        <f ca="1">GL!CL368</f>
        <v>0</v>
      </c>
      <c r="O264" s="409">
        <f ca="1">GL!CM368</f>
        <v>0</v>
      </c>
    </row>
    <row r="265" spans="1:17" s="176" customFormat="1" ht="15" customHeight="1" x14ac:dyDescent="0.25">
      <c r="A265" s="319"/>
      <c r="B265" s="360" t="str">
        <f t="shared" ca="1" si="16"/>
        <v/>
      </c>
      <c r="C265" s="359" t="str">
        <f ca="1">IF($I$251="Yes",IF(AND(B264="",B265=""),"","Retirement Phase"),"")</f>
        <v/>
      </c>
      <c r="D265" s="419"/>
      <c r="E265" s="420"/>
      <c r="F265" s="420"/>
      <c r="G265" s="420"/>
      <c r="H265" s="420"/>
      <c r="I265" s="306"/>
      <c r="J265" s="320"/>
      <c r="K265" s="308"/>
      <c r="L265" s="308"/>
    </row>
    <row r="266" spans="1:17" s="176" customFormat="1" ht="15" customHeight="1" x14ac:dyDescent="0.25">
      <c r="A266" s="319"/>
      <c r="B266" s="361" t="str">
        <f t="shared" ca="1" si="16"/>
        <v/>
      </c>
      <c r="C266" s="358"/>
      <c r="D266" s="417" t="str">
        <f ca="1">IF($B266&lt;end_year,VLOOKUP($B266,PensionBals,3),IF($B267&lt;end_year,VLOOKUP($B267,PensionBals,3),""))</f>
        <v/>
      </c>
      <c r="E266" s="417" t="str">
        <f ca="1">IF($B266&lt;end_year,VLOOKUP($B266,PensionBals,4),IF($B267&lt;end_year,VLOOKUP($B267,PensionBals,4),""))</f>
        <v/>
      </c>
      <c r="F266" s="417" t="str">
        <f ca="1">IF($B266&lt;end_year,VLOOKUP($B266,PensionBals,5),IF($B267&lt;end_year,VLOOKUP($B267,PensionBals,5),""))</f>
        <v/>
      </c>
      <c r="G266" s="417" t="str">
        <f ca="1">IF($B266&lt;end_year,VLOOKUP($B266,PensionBals,6),IF($B267&lt;end_year,VLOOKUP($B267,PensionBals,6),""))</f>
        <v/>
      </c>
      <c r="H266" s="370" t="str">
        <f ca="1">IF(B267&lt;&gt;"",B267,"")</f>
        <v/>
      </c>
      <c r="I266" s="357"/>
      <c r="J266" s="320"/>
      <c r="L266" s="308"/>
    </row>
    <row r="267" spans="1:17" s="176" customFormat="1" ht="15" customHeight="1" x14ac:dyDescent="0.25">
      <c r="A267" s="319"/>
      <c r="B267" s="360" t="str">
        <f t="shared" ca="1" si="16"/>
        <v/>
      </c>
      <c r="C267" s="359" t="str">
        <f ca="1">IF($I$251="Yes",IF(AND(B266="",B267=""),"","Retirement Phase"),"")</f>
        <v/>
      </c>
      <c r="D267" s="419"/>
      <c r="E267" s="420"/>
      <c r="F267" s="420"/>
      <c r="G267" s="420"/>
      <c r="H267" s="420"/>
      <c r="I267" s="306"/>
      <c r="J267" s="320"/>
      <c r="K267" s="413">
        <f>TotPenBal</f>
        <v>0</v>
      </c>
      <c r="L267" s="411">
        <f>PenBal1</f>
        <v>0</v>
      </c>
      <c r="M267" s="412">
        <f>PenBal2</f>
        <v>0</v>
      </c>
      <c r="N267" s="412">
        <f>PenBal3</f>
        <v>0</v>
      </c>
      <c r="O267" s="412">
        <f>PenBal4</f>
        <v>0</v>
      </c>
    </row>
    <row r="268" spans="1:17" s="176" customFormat="1" ht="15" customHeight="1" x14ac:dyDescent="0.25">
      <c r="A268" s="319"/>
      <c r="B268" s="361" t="str">
        <f t="shared" ca="1" si="16"/>
        <v/>
      </c>
      <c r="C268" s="358"/>
      <c r="D268" s="417" t="str">
        <f ca="1">IF($B268&lt;end_year,VLOOKUP($B268,PensionBals,3),IF($B269&lt;end_year,VLOOKUP($B269,PensionBals,3),""))</f>
        <v/>
      </c>
      <c r="E268" s="417" t="str">
        <f ca="1">IF($B268&lt;end_year,VLOOKUP($B268,PensionBals,4),IF($B269&lt;end_year,VLOOKUP($B269,PensionBals,4),""))</f>
        <v/>
      </c>
      <c r="F268" s="417" t="str">
        <f ca="1">IF($B268&lt;end_year,VLOOKUP($B268,PensionBals,5),IF($B269&lt;end_year,VLOOKUP($B269,PensionBals,5),""))</f>
        <v/>
      </c>
      <c r="G268" s="417" t="str">
        <f ca="1">IF($B268&lt;end_year,VLOOKUP($B268,PensionBals,6),IF($B269&lt;end_year,VLOOKUP($B269,PensionBals,6),""))</f>
        <v/>
      </c>
      <c r="H268" s="370" t="str">
        <f ca="1">IF(B269&lt;&gt;"",B269,"")</f>
        <v/>
      </c>
      <c r="I268" s="357"/>
      <c r="J268" s="320"/>
      <c r="K268" s="414">
        <f>TotMemBal</f>
        <v>0</v>
      </c>
      <c r="L268" s="411">
        <f>MemBal1</f>
        <v>0</v>
      </c>
      <c r="M268" s="412">
        <f>MemBal2</f>
        <v>0</v>
      </c>
      <c r="N268" s="412">
        <f>MemBal3</f>
        <v>0</v>
      </c>
      <c r="O268" s="412">
        <f>MemBal4</f>
        <v>0</v>
      </c>
    </row>
    <row r="269" spans="1:17" s="176" customFormat="1" ht="15" customHeight="1" x14ac:dyDescent="0.25">
      <c r="A269" s="319"/>
      <c r="B269" s="360" t="str">
        <f t="shared" ca="1" si="16"/>
        <v/>
      </c>
      <c r="C269" s="359" t="str">
        <f ca="1">IF($I$251="Yes",IF(AND(B268="",B269=""),"","Retirement Phase"),"")</f>
        <v/>
      </c>
      <c r="D269" s="419"/>
      <c r="E269" s="420"/>
      <c r="F269" s="420"/>
      <c r="G269" s="420"/>
      <c r="H269" s="420"/>
      <c r="I269" s="306"/>
      <c r="J269" s="320"/>
      <c r="L269" s="308"/>
    </row>
    <row r="270" spans="1:17" s="176" customFormat="1" ht="15" customHeight="1" x14ac:dyDescent="0.25">
      <c r="A270" s="319"/>
      <c r="C270" s="345"/>
      <c r="D270" s="346"/>
      <c r="E270" s="311"/>
      <c r="F270" s="311"/>
      <c r="G270" s="311"/>
      <c r="H270" s="311"/>
      <c r="J270" s="320"/>
      <c r="K270" s="308"/>
      <c r="L270" s="308"/>
    </row>
    <row r="271" spans="1:17" s="176" customFormat="1" ht="15" customHeight="1" x14ac:dyDescent="0.25">
      <c r="A271" s="319"/>
      <c r="B271" s="308"/>
      <c r="J271" s="389"/>
      <c r="K271" s="308"/>
      <c r="L271" s="308"/>
    </row>
    <row r="272" spans="1:17" s="176" customFormat="1" ht="15" customHeight="1" x14ac:dyDescent="0.25">
      <c r="A272" s="319"/>
      <c r="B272" s="472" t="s">
        <v>249</v>
      </c>
      <c r="C272" s="472"/>
      <c r="D272" s="472"/>
      <c r="E272" s="472"/>
      <c r="F272" s="472"/>
      <c r="G272" s="472"/>
      <c r="H272" s="472"/>
      <c r="I272" s="472"/>
      <c r="J272" s="473"/>
      <c r="K272" s="308"/>
      <c r="L272" s="381">
        <f ca="1">I349</f>
        <v>0</v>
      </c>
    </row>
    <row r="273" spans="1:12" s="176" customFormat="1" ht="15" customHeight="1" x14ac:dyDescent="0.25">
      <c r="A273" s="319"/>
      <c r="C273" s="345"/>
      <c r="D273" s="346"/>
      <c r="E273" s="388" t="s">
        <v>248</v>
      </c>
      <c r="F273" s="311"/>
      <c r="G273" s="311"/>
      <c r="H273" s="311"/>
      <c r="J273" s="320"/>
      <c r="K273" s="308"/>
      <c r="L273" s="308"/>
    </row>
    <row r="274" spans="1:12" s="176" customFormat="1" ht="15" customHeight="1" x14ac:dyDescent="0.25">
      <c r="A274" s="319"/>
      <c r="C274" s="345"/>
      <c r="D274" s="346"/>
      <c r="E274" s="311"/>
      <c r="F274" s="311"/>
      <c r="G274" s="311"/>
      <c r="H274" s="311"/>
      <c r="J274" s="320"/>
      <c r="K274" s="308"/>
      <c r="L274" s="308"/>
    </row>
    <row r="275" spans="1:12" s="176" customFormat="1" ht="15" customHeight="1" x14ac:dyDescent="0.25">
      <c r="A275" s="319"/>
      <c r="C275" s="345"/>
      <c r="D275" s="346"/>
      <c r="E275" s="311"/>
      <c r="F275" s="311"/>
      <c r="G275" s="311"/>
      <c r="H275" s="311"/>
      <c r="J275" s="320"/>
      <c r="K275" s="308"/>
      <c r="L275" s="308"/>
    </row>
    <row r="276" spans="1:12" s="176" customFormat="1" ht="15" hidden="1" customHeight="1" x14ac:dyDescent="0.25">
      <c r="A276" s="319"/>
      <c r="B276" s="321"/>
      <c r="I276" s="130"/>
      <c r="J276" s="320"/>
    </row>
    <row r="277" spans="1:12" s="176" customFormat="1" ht="15" hidden="1" customHeight="1" x14ac:dyDescent="0.25">
      <c r="A277" s="319"/>
      <c r="B277" s="321"/>
      <c r="I277" s="130"/>
      <c r="J277" s="320"/>
    </row>
    <row r="278" spans="1:12" s="176" customFormat="1" ht="15" hidden="1" customHeight="1" x14ac:dyDescent="0.25">
      <c r="A278" s="319"/>
      <c r="B278" s="321"/>
      <c r="I278" s="130"/>
      <c r="J278" s="320"/>
    </row>
    <row r="279" spans="1:12" s="176" customFormat="1" ht="15" hidden="1" customHeight="1" x14ac:dyDescent="0.25">
      <c r="A279" s="319"/>
      <c r="B279" s="130"/>
      <c r="C279" s="130"/>
      <c r="D279" s="130"/>
      <c r="E279" s="130"/>
      <c r="F279" s="130"/>
      <c r="G279" s="130"/>
      <c r="H279" s="130"/>
      <c r="I279" s="130"/>
      <c r="J279" s="320"/>
    </row>
    <row r="280" spans="1:12" s="176" customFormat="1" ht="15" customHeight="1" thickBot="1" x14ac:dyDescent="0.3">
      <c r="A280" s="322"/>
      <c r="B280" s="323"/>
      <c r="C280" s="323"/>
      <c r="D280" s="323"/>
      <c r="E280" s="323"/>
      <c r="F280" s="323"/>
      <c r="G280" s="323"/>
      <c r="H280" s="323"/>
      <c r="I280" s="323"/>
      <c r="J280" s="324"/>
    </row>
    <row r="281" spans="1:12" s="176" customFormat="1" ht="15" customHeight="1" thickTop="1" x14ac:dyDescent="0.25">
      <c r="B281" s="130"/>
      <c r="C281" s="130"/>
      <c r="D281" s="130"/>
      <c r="E281" s="130"/>
      <c r="F281" s="130"/>
      <c r="G281" s="130"/>
      <c r="H281" s="130"/>
      <c r="I281" s="130"/>
      <c r="J281" s="130"/>
    </row>
    <row r="282" spans="1:12" s="176" customFormat="1" ht="10.5" customHeight="1" x14ac:dyDescent="0.25">
      <c r="B282" s="471" t="str">
        <f ca="1">IF(K284&gt;0,CONCATENATE("There are ",K284," issue/s with this application form - see details below. Please do not submit until resolved!  Call 1800 230 737 for assistance."),"Everything appears to be in order with this application.")</f>
        <v>There are 13 issue/s with this application form - see details below. Please do not submit until resolved!  Call 1800 230 737 for assistance.</v>
      </c>
      <c r="C282" s="471"/>
      <c r="D282" s="471"/>
      <c r="E282" s="471"/>
      <c r="F282" s="471"/>
      <c r="G282" s="471"/>
      <c r="H282" s="471"/>
      <c r="I282" s="471"/>
      <c r="J282" s="471"/>
    </row>
    <row r="283" spans="1:12" s="176" customFormat="1" ht="10.5" customHeight="1" thickBot="1" x14ac:dyDescent="0.3">
      <c r="B283" s="471"/>
      <c r="C283" s="471"/>
      <c r="D283" s="471"/>
      <c r="E283" s="471"/>
      <c r="F283" s="471"/>
      <c r="G283" s="471"/>
      <c r="H283" s="471"/>
      <c r="I283" s="471"/>
      <c r="J283" s="471"/>
    </row>
    <row r="284" spans="1:12" s="176" customFormat="1" ht="24.75" customHeight="1" thickBot="1" x14ac:dyDescent="0.3">
      <c r="B284" s="464" t="s">
        <v>229</v>
      </c>
      <c r="C284" s="465"/>
      <c r="D284" s="465"/>
      <c r="E284" s="465"/>
      <c r="F284" s="465"/>
      <c r="G284" s="465"/>
      <c r="H284" s="465"/>
      <c r="I284" s="466"/>
      <c r="J284" s="130"/>
      <c r="K284" s="221">
        <f ca="1">SUM(K286:K320,K331:K337,L304:N305)</f>
        <v>13</v>
      </c>
    </row>
    <row r="285" spans="1:12" s="176" customFormat="1" ht="7.5" customHeight="1" x14ac:dyDescent="0.25">
      <c r="B285" s="130"/>
      <c r="C285" s="130"/>
      <c r="D285" s="130"/>
      <c r="E285" s="130"/>
      <c r="F285" s="130"/>
      <c r="G285" s="130"/>
      <c r="H285" s="130"/>
      <c r="I285" s="130"/>
      <c r="J285" s="130"/>
    </row>
    <row r="286" spans="1:12" s="176" customFormat="1" ht="15" customHeight="1" x14ac:dyDescent="0.25">
      <c r="B286" s="275" t="s">
        <v>228</v>
      </c>
      <c r="C286" s="130"/>
      <c r="D286" s="176" t="str">
        <f ca="1">IF(AND(YEAR(end_year)&gt;2017,seg_eligible=""),"Please indicate whether the Fund is eligible to use the Segregated Method for claiming ECPI.",IF(AND(YEAR(end_year)&gt;2017,seg_eligible="Yes",OR(C238&lt;&gt;"",LEFT(C237,1)="U"),I251=""),"Please indicate whether you are able to provide balances for the end of the DSPs.",IF(AND(YEAR(end_year)&gt;2017,seg_eligible="Yes",C237&lt;&gt;"",I251="Yes",D259=""),"Please enter the Retirement Phase balances for those dates in the Deemed Segregated Period section",IF(AND(YEAR(end_year)&gt;2017,seg_eligible="Yes",C237&lt;&gt;"",I251="No",I253=""),"Please indicate whether you are able to enter the Total Fund Balances for dates in the Deemed Segregated Period section",IF(AND(YEAR(end_year)&gt;2017,seg_eligible="Yes",C237&lt;&gt;"",I251="No",I253="Yes",H259=""),"Please enter balances for the dates shown in the Deemed Segregated Section","done")))))</f>
        <v>done</v>
      </c>
      <c r="E286" s="130"/>
      <c r="F286" s="130"/>
      <c r="G286" s="130"/>
      <c r="H286" s="130"/>
      <c r="I286" s="130"/>
      <c r="J286" s="130"/>
      <c r="K286" s="221">
        <f ca="1">IF(D286="done",0,1)</f>
        <v>0</v>
      </c>
    </row>
    <row r="287" spans="1:12" s="176" customFormat="1" ht="15" customHeight="1" x14ac:dyDescent="0.25">
      <c r="B287" s="434" t="s">
        <v>294</v>
      </c>
      <c r="C287" s="130"/>
      <c r="D287" s="176" t="str">
        <f>IF(AND(YEAR(end_year)&gt;2017,seg_eligible="Yes", seg_choice=""),"Please indicate whether the Fund wishes to use the Segregated Method for claiming ECPI.","done")</f>
        <v>done</v>
      </c>
      <c r="E287" s="130"/>
      <c r="F287" s="130"/>
      <c r="G287" s="130"/>
      <c r="H287" s="130"/>
      <c r="I287" s="130"/>
      <c r="J287" s="130"/>
      <c r="K287" s="221">
        <f>IF(D287="done",0,1)</f>
        <v>0</v>
      </c>
    </row>
    <row r="288" spans="1:12" s="176" customFormat="1" ht="12.75" customHeight="1" x14ac:dyDescent="0.25">
      <c r="B288" s="275" t="s">
        <v>28</v>
      </c>
      <c r="C288" s="176" t="str">
        <f>IF(D8="","Please provide your company name for use on the certificate and invoice.","done")</f>
        <v>Please provide your company name for use on the certificate and invoice.</v>
      </c>
      <c r="D288" s="130"/>
      <c r="E288" s="130"/>
      <c r="F288" s="130"/>
      <c r="G288" s="130"/>
      <c r="H288" s="130"/>
      <c r="I288" s="130"/>
      <c r="J288" s="130"/>
      <c r="K288" s="221">
        <f>IF(C288="done",0,1)</f>
        <v>1</v>
      </c>
    </row>
    <row r="289" spans="2:14" s="176" customFormat="1" ht="12.75" customHeight="1" x14ac:dyDescent="0.25">
      <c r="B289" s="275" t="s">
        <v>10</v>
      </c>
      <c r="C289" s="176" t="str">
        <f>IF(D9="","Please complete postal address section for easier client identification.","done")</f>
        <v>Please complete postal address section for easier client identification.</v>
      </c>
      <c r="D289" s="130"/>
      <c r="E289" s="130"/>
      <c r="F289" s="130"/>
      <c r="G289" s="130"/>
      <c r="H289" s="130"/>
      <c r="I289" s="130"/>
      <c r="J289" s="130"/>
      <c r="K289" s="221">
        <f t="shared" ref="K289:K301" si="17">IF(C289="done",0,1)</f>
        <v>1</v>
      </c>
    </row>
    <row r="290" spans="2:14" s="176" customFormat="1" ht="12.75" customHeight="1" x14ac:dyDescent="0.25">
      <c r="B290" s="275" t="s">
        <v>29</v>
      </c>
      <c r="C290" s="176" t="str">
        <f>IF(D10="","Please indicate the Town, Suburb or City of Administration Company.","done")</f>
        <v>Please indicate the Town, Suburb or City of Administration Company.</v>
      </c>
      <c r="D290" s="130"/>
      <c r="E290" s="130"/>
      <c r="F290" s="130"/>
      <c r="G290" s="130"/>
      <c r="H290" s="130"/>
      <c r="I290" s="130"/>
      <c r="J290" s="130"/>
      <c r="K290" s="221">
        <f t="shared" si="17"/>
        <v>1</v>
      </c>
    </row>
    <row r="291" spans="2:14" s="176" customFormat="1" ht="12.75" customHeight="1" x14ac:dyDescent="0.25">
      <c r="B291" s="275" t="s">
        <v>30</v>
      </c>
      <c r="C291" s="176" t="str">
        <f>IF(H10="","Please select the STATE of the Administration Company","done")</f>
        <v>Please select the STATE of the Administration Company</v>
      </c>
      <c r="D291" s="130"/>
      <c r="E291" s="130"/>
      <c r="F291" s="130"/>
      <c r="G291" s="130"/>
      <c r="H291" s="130"/>
      <c r="I291" s="130"/>
      <c r="J291" s="130"/>
      <c r="K291" s="221">
        <f t="shared" si="17"/>
        <v>1</v>
      </c>
    </row>
    <row r="292" spans="2:14" s="176" customFormat="1" ht="12.75" customHeight="1" x14ac:dyDescent="0.25">
      <c r="B292" s="275" t="s">
        <v>31</v>
      </c>
      <c r="C292" s="176" t="str">
        <f>IF(J10="","Please indicate the correct POST CODE for the Administration Company.","done")</f>
        <v>Please indicate the correct POST CODE for the Administration Company.</v>
      </c>
      <c r="D292" s="130"/>
      <c r="E292" s="130"/>
      <c r="F292" s="130"/>
      <c r="G292" s="130"/>
      <c r="H292" s="130"/>
      <c r="I292" s="130"/>
      <c r="J292" s="130"/>
      <c r="K292" s="221">
        <f t="shared" si="17"/>
        <v>1</v>
      </c>
    </row>
    <row r="293" spans="2:14" s="176" customFormat="1" ht="12.75" customHeight="1" x14ac:dyDescent="0.25">
      <c r="B293" s="275" t="s">
        <v>32</v>
      </c>
      <c r="C293" s="176" t="str">
        <f>IF(J9="","Please enter the PHONE NUMBER in case we need to telephone the Contact Person for clarification or further information.","done")</f>
        <v>Please enter the PHONE NUMBER in case we need to telephone the Contact Person for clarification or further information.</v>
      </c>
      <c r="D293" s="130"/>
      <c r="E293" s="130"/>
      <c r="F293" s="130"/>
      <c r="G293" s="130"/>
      <c r="H293" s="130"/>
      <c r="I293" s="130"/>
      <c r="J293" s="130"/>
      <c r="K293" s="221">
        <f t="shared" si="17"/>
        <v>1</v>
      </c>
    </row>
    <row r="294" spans="2:14" s="176" customFormat="1" ht="12.75" customHeight="1" x14ac:dyDescent="0.25">
      <c r="B294" s="275" t="s">
        <v>27</v>
      </c>
      <c r="C294" s="176" t="str">
        <f>IF(D19="","Please provide the name of the individual we should contact if further details are required.",IF(NOT(ISERROR(FIND("@",D19))),"An email address appears to have been entered rather than the NAME of the person to Contact - please check cell D19",IF(H19="","Please provide the email address of the contact person so we can request more information if necessary.","done")))</f>
        <v>Please provide the name of the individual we should contact if further details are required.</v>
      </c>
      <c r="D294" s="130"/>
      <c r="E294" s="130"/>
      <c r="F294" s="130"/>
      <c r="G294" s="130"/>
      <c r="H294" s="130"/>
      <c r="I294" s="130"/>
      <c r="J294" s="130"/>
      <c r="K294" s="221">
        <f t="shared" si="17"/>
        <v>1</v>
      </c>
    </row>
    <row r="295" spans="2:14" s="176" customFormat="1" ht="12.75" customHeight="1" x14ac:dyDescent="0.25">
      <c r="B295" s="275" t="s">
        <v>33</v>
      </c>
      <c r="C295" s="176" t="str">
        <f>IF(H19="","We also require an email address (usually of the contact person) for somewhere to email the completed certificate and invoice.",IF(OR(ISERROR(FIND("@",H19)),ISERROR(FIND(".",H19)),NOT(ISERROR(FIND(" ",TRIM(H19))))),"The entry for the Contact Email Address does not appear to be a valid email address.  Please enter an email address &amp; check for validity.","done"))</f>
        <v>We also require an email address (usually of the contact person) for somewhere to email the completed certificate and invoice.</v>
      </c>
      <c r="D295" s="130"/>
      <c r="E295" s="130"/>
      <c r="F295" s="130"/>
      <c r="G295" s="130"/>
      <c r="H295" s="130"/>
      <c r="I295" s="130"/>
      <c r="J295" s="130"/>
      <c r="K295" s="221">
        <f t="shared" si="17"/>
        <v>1</v>
      </c>
    </row>
    <row r="296" spans="2:14" s="176" customFormat="1" ht="12.75" customHeight="1" x14ac:dyDescent="0.25">
      <c r="B296" s="275"/>
      <c r="D296" s="130"/>
      <c r="E296" s="130"/>
      <c r="F296" s="130"/>
      <c r="G296" s="130"/>
      <c r="H296" s="130"/>
      <c r="I296" s="130"/>
      <c r="J296" s="130"/>
      <c r="K296" s="221"/>
    </row>
    <row r="297" spans="2:14" s="176" customFormat="1" ht="6" customHeight="1" x14ac:dyDescent="0.25">
      <c r="B297" s="130"/>
      <c r="C297" s="130"/>
      <c r="D297" s="130"/>
      <c r="E297" s="130"/>
      <c r="F297" s="130"/>
      <c r="G297" s="130"/>
      <c r="H297" s="130"/>
      <c r="I297" s="130"/>
      <c r="J297" s="130"/>
    </row>
    <row r="298" spans="2:14" s="176" customFormat="1" ht="12.75" customHeight="1" x14ac:dyDescent="0.25">
      <c r="B298" s="276" t="s">
        <v>11</v>
      </c>
      <c r="C298" s="176" t="str">
        <f>IF(D26="","Please provide the name of the Superannuation Fund in question",IF(NOT(ISERROR(FIND(" ATF ",D26))),"Please do not include Trustee information in the name of the Superannuation Fund.  Just the Fund Name please.","done"))</f>
        <v>Please provide the name of the Superannuation Fund in question</v>
      </c>
      <c r="D298" s="130"/>
      <c r="E298" s="130"/>
      <c r="F298" s="130"/>
      <c r="G298" s="130"/>
      <c r="H298" s="130"/>
      <c r="I298" s="130"/>
      <c r="J298" s="130"/>
      <c r="K298" s="221">
        <f t="shared" si="17"/>
        <v>1</v>
      </c>
    </row>
    <row r="299" spans="2:14" s="176" customFormat="1" ht="12.75" customHeight="1" x14ac:dyDescent="0.25">
      <c r="B299" s="276" t="s">
        <v>12</v>
      </c>
      <c r="C299" s="176" t="str">
        <f>IF(AND(D27="",D28=""),"Please provide the full name of at least one of the Trustees or the name of the Corporate Trustee",IF(AND(D27&lt;&gt;"",D28&lt;&gt;""),"If you have entered the name of the Corporate Trustee, please do not worry about entering the names of individual trustees.",IF(OR(NOT(ISERROR(FIND("ACN",D27))),NOT(ISERROR(FIND("CAN",D27))),NOT(ISERROR(FIND("A.C.N.",D27)))),"Unless the Corporate Trustee Name includes ACN, please do not worry about including the ACN details in the name of the Corporate Trustee","done")))</f>
        <v>Please provide the full name of at least one of the Trustees or the name of the Corporate Trustee</v>
      </c>
      <c r="D299" s="130"/>
      <c r="E299" s="130"/>
      <c r="F299" s="130"/>
      <c r="G299" s="130"/>
      <c r="H299" s="130"/>
      <c r="I299" s="130"/>
      <c r="J299" s="130"/>
      <c r="K299" s="221">
        <f t="shared" si="17"/>
        <v>1</v>
      </c>
    </row>
    <row r="300" spans="2:14" s="176" customFormat="1" ht="12.75" customHeight="1" x14ac:dyDescent="0.25">
      <c r="B300" s="276" t="s">
        <v>13</v>
      </c>
      <c r="C300" s="176" t="str">
        <f>IF(finyear="","YOU MUST INDICATE WHICH FINANCIAL YEAR THIS IS FOR","done")</f>
        <v>done</v>
      </c>
      <c r="D300" s="130"/>
      <c r="E300" s="130"/>
      <c r="F300" s="130"/>
      <c r="G300" s="130"/>
      <c r="H300" s="130"/>
      <c r="I300" s="130"/>
      <c r="J300" s="130"/>
      <c r="K300" s="221">
        <f t="shared" si="17"/>
        <v>0</v>
      </c>
    </row>
    <row r="301" spans="2:14" s="176" customFormat="1" ht="12.75" customHeight="1" x14ac:dyDescent="0.25">
      <c r="B301" s="276" t="s">
        <v>159</v>
      </c>
      <c r="C301" s="277" t="str">
        <f>IF(AND(NOT(ISERROR(FIND("segregat",#REF!))),I45="No"),"The comments section mentions segregation but Cell H43 (Segregated Assets) indicates No Segregated Assets.  Please check this is correct.","done")</f>
        <v>done</v>
      </c>
      <c r="D301" s="130"/>
      <c r="E301" s="130"/>
      <c r="F301" s="130"/>
      <c r="G301" s="130"/>
      <c r="H301" s="130"/>
      <c r="I301" s="130"/>
      <c r="J301" s="130"/>
      <c r="K301" s="221">
        <f t="shared" si="17"/>
        <v>0</v>
      </c>
    </row>
    <row r="302" spans="2:14" s="176" customFormat="1" ht="6" customHeight="1" x14ac:dyDescent="0.25">
      <c r="B302" s="130"/>
      <c r="C302" s="130"/>
      <c r="D302" s="130"/>
      <c r="E302" s="130"/>
      <c r="F302" s="130"/>
      <c r="G302" s="130"/>
      <c r="H302" s="130"/>
      <c r="I302" s="130"/>
      <c r="J302" s="130"/>
    </row>
    <row r="303" spans="2:14" s="176" customFormat="1" ht="12.75" customHeight="1" x14ac:dyDescent="0.25">
      <c r="B303" s="130"/>
      <c r="C303" s="278" t="s">
        <v>16</v>
      </c>
      <c r="D303" s="278" t="s">
        <v>17</v>
      </c>
      <c r="E303" s="278" t="s">
        <v>18</v>
      </c>
      <c r="F303" s="278" t="s">
        <v>19</v>
      </c>
      <c r="G303" s="130"/>
      <c r="H303" s="130"/>
      <c r="I303" s="130"/>
      <c r="J303" s="130"/>
    </row>
    <row r="304" spans="2:14" s="176" customFormat="1" ht="15.75" customHeight="1" x14ac:dyDescent="0.25">
      <c r="B304" s="279" t="s">
        <v>14</v>
      </c>
      <c r="C304" s="176" t="str">
        <f>IF(OR(D38="",mname1=""),"Missing name","done")</f>
        <v>Missing name</v>
      </c>
      <c r="D304" s="176" t="str">
        <f>IF(E57&gt;0,IF(OR(mname2="",E38=""),"Missing name","done"),"done")</f>
        <v>done</v>
      </c>
      <c r="E304" s="176" t="str">
        <f>IF(F57&gt;0,IF(OR(mname3="",F38=""),"Missing name","done"),"done")</f>
        <v>done</v>
      </c>
      <c r="F304" s="176" t="str">
        <f>IF(G57&gt;0,IF(OR(mname4="",G38=""),"Missing name","done"),"done")</f>
        <v>done</v>
      </c>
      <c r="G304" s="280" t="s">
        <v>58</v>
      </c>
      <c r="H304" s="130"/>
      <c r="I304" s="130"/>
      <c r="J304" s="130"/>
      <c r="K304" s="221">
        <f t="shared" ref="K304:N305" si="18">IF(C304="done",0,1)</f>
        <v>1</v>
      </c>
      <c r="L304" s="221">
        <f t="shared" si="18"/>
        <v>0</v>
      </c>
      <c r="M304" s="221">
        <f t="shared" si="18"/>
        <v>0</v>
      </c>
      <c r="N304" s="221">
        <f t="shared" si="18"/>
        <v>0</v>
      </c>
    </row>
    <row r="305" spans="2:14" s="176" customFormat="1" ht="12.75" customHeight="1" x14ac:dyDescent="0.25">
      <c r="B305" s="279" t="s">
        <v>15</v>
      </c>
      <c r="C305" s="176" t="str">
        <f>IF(AND(D37&lt;&gt;"",D39=""),"DoB Missing","done")</f>
        <v>done</v>
      </c>
      <c r="D305" s="176" t="str">
        <f>IF(AND(E37&lt;&gt;"",E39=""),"DoB Missing","done")</f>
        <v>done</v>
      </c>
      <c r="E305" s="176" t="str">
        <f>IF(AND(F37&lt;&gt;"",F39=""),"DoB Missing","done")</f>
        <v>done</v>
      </c>
      <c r="F305" s="176" t="str">
        <f>IF(AND(G37&lt;&gt;"",G39=""),"DoB Missing","done")</f>
        <v>done</v>
      </c>
      <c r="G305" s="280" t="s">
        <v>57</v>
      </c>
      <c r="H305" s="130"/>
      <c r="I305" s="130"/>
      <c r="J305" s="130"/>
      <c r="K305" s="221">
        <f t="shared" si="18"/>
        <v>0</v>
      </c>
      <c r="L305" s="221">
        <f t="shared" si="18"/>
        <v>0</v>
      </c>
      <c r="M305" s="221">
        <f t="shared" si="18"/>
        <v>0</v>
      </c>
      <c r="N305" s="221">
        <f t="shared" si="18"/>
        <v>0</v>
      </c>
    </row>
    <row r="306" spans="2:14" s="176" customFormat="1" ht="6" customHeight="1" x14ac:dyDescent="0.25">
      <c r="B306" s="130"/>
      <c r="C306" s="130"/>
      <c r="D306" s="130"/>
      <c r="E306" s="130"/>
      <c r="F306" s="130"/>
      <c r="G306" s="130"/>
      <c r="H306" s="130"/>
      <c r="I306" s="130"/>
      <c r="J306" s="130"/>
    </row>
    <row r="307" spans="2:14" s="176" customFormat="1" ht="12.75" customHeight="1" x14ac:dyDescent="0.25">
      <c r="B307" s="281" t="s">
        <v>49</v>
      </c>
      <c r="C307" s="176" t="str">
        <f>IF(AND(I36="No",res&gt;0),"The indication is that there is no reserve, but an opening balance has been shown for the reserve.","done")</f>
        <v>done</v>
      </c>
      <c r="D307" s="130"/>
      <c r="E307" s="130"/>
      <c r="F307" s="130"/>
      <c r="G307" s="130"/>
      <c r="H307" s="130"/>
      <c r="I307" s="130"/>
      <c r="J307" s="130"/>
      <c r="K307" s="221">
        <f>IF(C307="done",0,1)</f>
        <v>0</v>
      </c>
    </row>
    <row r="308" spans="2:14" s="176" customFormat="1" ht="12.75" customHeight="1" x14ac:dyDescent="0.25">
      <c r="B308" s="281" t="s">
        <v>61</v>
      </c>
      <c r="C308" s="176" t="str">
        <f>IF(AND(seg_eligible="Yes",SUM(D52:H52,D86:G87,G62:G71)=0),"There don't appear to be any non-Retirement Phase Accounts in this Fund - is a certificate necessary?","done")</f>
        <v>There don't appear to be any non-Retirement Phase Accounts in this Fund - is a certificate necessary?</v>
      </c>
      <c r="D308" s="130"/>
      <c r="E308" s="130"/>
      <c r="F308" s="130"/>
      <c r="G308" s="130"/>
      <c r="H308" s="130"/>
      <c r="I308" s="130"/>
      <c r="J308" s="130"/>
      <c r="K308" s="221">
        <f>IF(C308="done",0,1)</f>
        <v>1</v>
      </c>
    </row>
    <row r="309" spans="2:14" s="176" customFormat="1" ht="12.75" customHeight="1" x14ac:dyDescent="0.25">
      <c r="B309" s="281" t="s">
        <v>60</v>
      </c>
      <c r="C309" s="176" t="str">
        <f>IF(AND(anyPens="NONE",seg_eligible&lt;&gt;"No"),"There don't appear to be any Retirement Phase Accounts in this application form - please re-check the details!","done")</f>
        <v>There don't appear to be any Retirement Phase Accounts in this application form - please re-check the details!</v>
      </c>
      <c r="D309" s="130"/>
      <c r="E309" s="130"/>
      <c r="F309" s="130"/>
      <c r="G309" s="130"/>
      <c r="H309" s="130"/>
      <c r="I309" s="130"/>
      <c r="J309" s="130"/>
      <c r="K309" s="221">
        <f>IF(C309="done",0,1)</f>
        <v>1</v>
      </c>
    </row>
    <row r="310" spans="2:14" s="176" customFormat="1" ht="12.75" customHeight="1" x14ac:dyDescent="0.25">
      <c r="B310" s="282" t="s">
        <v>59</v>
      </c>
      <c r="C310" s="130"/>
      <c r="D310" s="130"/>
      <c r="E310" s="130"/>
      <c r="F310" s="130"/>
      <c r="G310" s="130"/>
      <c r="H310" s="130"/>
      <c r="I310" s="130"/>
      <c r="J310" s="130"/>
    </row>
    <row r="311" spans="2:14" s="176" customFormat="1" ht="12.75" customHeight="1" x14ac:dyDescent="0.25">
      <c r="B311" s="281" t="s">
        <v>63</v>
      </c>
      <c r="C311" s="176" t="str">
        <f>IF(K62&lt;&gt;0,IF(U62&lt;&gt;0,"There is an error with one of the Member numbers for Internal Transfer 1.  Please check!","Please check all details for Internal Transfer 1 - it appears something is not correct!"),"done")</f>
        <v>done</v>
      </c>
      <c r="D311" s="130"/>
      <c r="E311" s="130"/>
      <c r="F311" s="130"/>
      <c r="G311" s="130"/>
      <c r="H311" s="130"/>
      <c r="I311" s="130"/>
      <c r="J311" s="130"/>
      <c r="K311" s="221">
        <f t="shared" ref="K311:K320" si="19">IF(C311="done",0,1)</f>
        <v>0</v>
      </c>
    </row>
    <row r="312" spans="2:14" s="176" customFormat="1" ht="12.75" customHeight="1" x14ac:dyDescent="0.25">
      <c r="B312" s="281" t="s">
        <v>64</v>
      </c>
      <c r="C312" s="176" t="str">
        <f>IF(K63&lt;&gt;0,IF(U63&lt;&gt;0,"There is an error with one of the Member numbers for Internal Transfer 2.  Please check!","Please check all details for Internal Transfer 2 - it appears something is not correct!"),"done")</f>
        <v>done</v>
      </c>
      <c r="D312" s="130"/>
      <c r="E312" s="130"/>
      <c r="F312" s="130"/>
      <c r="G312" s="130"/>
      <c r="H312" s="130"/>
      <c r="I312" s="130"/>
      <c r="J312" s="130"/>
      <c r="K312" s="221">
        <f t="shared" si="19"/>
        <v>0</v>
      </c>
    </row>
    <row r="313" spans="2:14" s="176" customFormat="1" ht="12.75" customHeight="1" x14ac:dyDescent="0.25">
      <c r="B313" s="281" t="s">
        <v>65</v>
      </c>
      <c r="C313" s="176" t="str">
        <f>IF(K64&lt;&gt;0,IF(U64&lt;&gt;0,"There is an error with one of the Member numbers for Internal Transfer 3.  Please check!","Please check all details for Internal Transfer 3 - it appears something is not correct!"),"done")</f>
        <v>done</v>
      </c>
      <c r="D313" s="130"/>
      <c r="E313" s="130"/>
      <c r="F313" s="130"/>
      <c r="G313" s="130"/>
      <c r="H313" s="130"/>
      <c r="I313" s="130"/>
      <c r="J313" s="130"/>
      <c r="K313" s="221">
        <f t="shared" si="19"/>
        <v>0</v>
      </c>
    </row>
    <row r="314" spans="2:14" s="176" customFormat="1" ht="12.75" customHeight="1" x14ac:dyDescent="0.25">
      <c r="B314" s="281" t="s">
        <v>66</v>
      </c>
      <c r="C314" s="176" t="str">
        <f>IF(K65&lt;&gt;0,IF(U65&lt;&gt;0,"There is an error with one of the Member numbers for Internal Transfer 4.  Please check!","Please check all details for Internal Transfer 4 - it appears something is not correct!"),"done")</f>
        <v>done</v>
      </c>
      <c r="D314" s="130"/>
      <c r="E314" s="130"/>
      <c r="F314" s="130"/>
      <c r="G314" s="130"/>
      <c r="H314" s="130"/>
      <c r="I314" s="130"/>
      <c r="J314" s="130"/>
      <c r="K314" s="221">
        <f t="shared" si="19"/>
        <v>0</v>
      </c>
    </row>
    <row r="315" spans="2:14" s="176" customFormat="1" ht="12.75" customHeight="1" x14ac:dyDescent="0.25">
      <c r="B315" s="281" t="s">
        <v>67</v>
      </c>
      <c r="C315" s="176" t="str">
        <f>IF(K66&lt;&gt;0,IF(U66&lt;&gt;0,"There is an error with one of the Member numbers for Internal Transfer 5.  Please check!","Please check all details for Internal Transfer 5 - it appears something is not correct!"),"done")</f>
        <v>done</v>
      </c>
      <c r="D315" s="130"/>
      <c r="E315" s="130"/>
      <c r="F315" s="130"/>
      <c r="G315" s="130"/>
      <c r="H315" s="130"/>
      <c r="I315" s="130"/>
      <c r="J315" s="130"/>
      <c r="K315" s="221">
        <f t="shared" si="19"/>
        <v>0</v>
      </c>
    </row>
    <row r="316" spans="2:14" s="176" customFormat="1" ht="12.75" customHeight="1" x14ac:dyDescent="0.25">
      <c r="B316" s="281" t="s">
        <v>68</v>
      </c>
      <c r="C316" s="176" t="str">
        <f>IF(K67&lt;&gt;0,IF(U67&lt;&gt;0,"There is an error with one of the Member numbers for Internal Transfer 6.  Please check!","Please check all details for Internal Transfer 6 - it appears something is not correct!"),"done")</f>
        <v>done</v>
      </c>
      <c r="D316" s="130"/>
      <c r="E316" s="130"/>
      <c r="F316" s="130"/>
      <c r="G316" s="130"/>
      <c r="H316" s="130"/>
      <c r="I316" s="130"/>
      <c r="J316" s="130"/>
      <c r="K316" s="221">
        <f t="shared" si="19"/>
        <v>0</v>
      </c>
    </row>
    <row r="317" spans="2:14" s="176" customFormat="1" ht="12.75" customHeight="1" x14ac:dyDescent="0.25">
      <c r="B317" s="281" t="s">
        <v>69</v>
      </c>
      <c r="C317" s="176" t="str">
        <f>IF(K68&lt;&gt;0,IF(U68&lt;&gt;0,"There is an error with one of the Member numbers for Internal Transfer 7.  Please check!","Please check all details for Internal Transfer 7 - it appears something is not correct!"),"done")</f>
        <v>done</v>
      </c>
      <c r="D317" s="130"/>
      <c r="E317" s="130"/>
      <c r="F317" s="130"/>
      <c r="G317" s="130"/>
      <c r="H317" s="130"/>
      <c r="I317" s="130"/>
      <c r="J317" s="130"/>
      <c r="K317" s="221">
        <f t="shared" si="19"/>
        <v>0</v>
      </c>
    </row>
    <row r="318" spans="2:14" s="176" customFormat="1" ht="12.75" customHeight="1" x14ac:dyDescent="0.25">
      <c r="B318" s="281" t="s">
        <v>70</v>
      </c>
      <c r="C318" s="176" t="str">
        <f>IF(K69&lt;&gt;0,IF(U69&lt;&gt;0,"There is an error with one of the Member numbers for Internal Transfer 8.  Please check!","Please check all details for Internal Transfer 8 - it appears something is not correct!"),"done")</f>
        <v>done</v>
      </c>
      <c r="D318" s="130"/>
      <c r="E318" s="130"/>
      <c r="F318" s="130"/>
      <c r="G318" s="130"/>
      <c r="H318" s="130"/>
      <c r="I318" s="130"/>
      <c r="J318" s="130"/>
      <c r="K318" s="221">
        <f t="shared" si="19"/>
        <v>0</v>
      </c>
    </row>
    <row r="319" spans="2:14" s="176" customFormat="1" ht="12.75" customHeight="1" x14ac:dyDescent="0.25">
      <c r="B319" s="281" t="s">
        <v>71</v>
      </c>
      <c r="C319" s="176" t="str">
        <f>IF(K70&lt;&gt;0,IF(U70&lt;&gt;0,"There is an error with one of the Member numbers for Internal Transfer 9.  Please check!","Please check all details for Internal Transfer 9 - it appears something is not correct!"),"done")</f>
        <v>done</v>
      </c>
      <c r="D319" s="130"/>
      <c r="E319" s="130"/>
      <c r="F319" s="130"/>
      <c r="G319" s="130"/>
      <c r="H319" s="130"/>
      <c r="I319" s="130"/>
      <c r="J319" s="130"/>
      <c r="K319" s="221">
        <f t="shared" si="19"/>
        <v>0</v>
      </c>
    </row>
    <row r="320" spans="2:14" s="176" customFormat="1" ht="12.75" customHeight="1" x14ac:dyDescent="0.25">
      <c r="B320" s="281" t="s">
        <v>72</v>
      </c>
      <c r="C320" s="176" t="str">
        <f>IF(K71&lt;&gt;0,IF(U71&lt;&gt;0,"There is an error with one of the Member numbers for Internal Transfer 10.  Please check!","Please check all details for Internal Transfer 10 - it appears something is not correct!"),"done")</f>
        <v>done</v>
      </c>
      <c r="D320" s="130"/>
      <c r="E320" s="130"/>
      <c r="F320" s="130"/>
      <c r="G320" s="130"/>
      <c r="H320" s="130"/>
      <c r="I320" s="130"/>
      <c r="J320" s="130"/>
      <c r="K320" s="221">
        <f t="shared" si="19"/>
        <v>0</v>
      </c>
    </row>
    <row r="321" spans="2:11" s="176" customFormat="1" ht="6" customHeight="1" x14ac:dyDescent="0.25">
      <c r="B321" s="130"/>
      <c r="C321" s="130"/>
      <c r="D321" s="130"/>
      <c r="E321" s="130"/>
      <c r="F321" s="130"/>
      <c r="G321" s="130"/>
      <c r="H321" s="130"/>
      <c r="I321" s="130"/>
      <c r="J321" s="130"/>
    </row>
    <row r="322" spans="2:11" s="176" customFormat="1" ht="12.75" customHeight="1" x14ac:dyDescent="0.25">
      <c r="B322" s="283" t="s">
        <v>4</v>
      </c>
      <c r="C322" s="176" t="str">
        <f>IF(H331&gt;1,"Please provide dates for Contributions.  If uniform throughout the year, show total with no date.",IF(I331&gt;1,"Please ensure Contributions are listed in the correct member column.","done"))</f>
        <v>done</v>
      </c>
      <c r="D322" s="130"/>
      <c r="E322" s="130"/>
      <c r="F322" s="130"/>
      <c r="G322" s="130"/>
      <c r="H322" s="130"/>
      <c r="I322" s="130"/>
      <c r="J322" s="130"/>
      <c r="K322" s="221">
        <f>IF(C322="done",0,1)</f>
        <v>0</v>
      </c>
    </row>
    <row r="323" spans="2:11" s="176" customFormat="1" ht="12.75" customHeight="1" x14ac:dyDescent="0.25">
      <c r="B323" s="283" t="s">
        <v>5</v>
      </c>
      <c r="C323" s="176" t="str">
        <f>IF(H334&gt;1,"Please provide dates for all Transfers In (roll-ins).",IF(I334&gt;1,"Please ensure Transfers In are listed in the correct member column.","done"))</f>
        <v>done</v>
      </c>
      <c r="D323" s="130"/>
      <c r="E323" s="130"/>
      <c r="F323" s="130"/>
      <c r="G323" s="130"/>
      <c r="H323" s="130"/>
      <c r="I323" s="130"/>
      <c r="J323" s="130"/>
      <c r="K323" s="221">
        <f>IF(C323="done",0,1)</f>
        <v>0</v>
      </c>
    </row>
    <row r="324" spans="2:11" s="176" customFormat="1" ht="12.75" customHeight="1" x14ac:dyDescent="0.25">
      <c r="B324" s="283" t="s">
        <v>51</v>
      </c>
      <c r="C324" s="176" t="str">
        <f>IF(H337&gt;1,"Please provide dates for ALL Benefit Payments.  If uniform throughout the year, show total with no date.",IF(I337&gt;1,"Please ensure benefit payments are listed in the correct member column.","done"))</f>
        <v>done</v>
      </c>
      <c r="D324" s="130"/>
      <c r="E324" s="130"/>
      <c r="F324" s="130"/>
      <c r="G324" s="130"/>
      <c r="H324" s="130"/>
      <c r="I324" s="130"/>
      <c r="J324" s="130"/>
      <c r="K324" s="221">
        <f>IF(C324="done",0,1)</f>
        <v>0</v>
      </c>
    </row>
    <row r="325" spans="2:11" s="176" customFormat="1" ht="6" customHeight="1" x14ac:dyDescent="0.25">
      <c r="B325" s="130"/>
      <c r="C325" s="130"/>
      <c r="D325" s="130"/>
      <c r="E325" s="130"/>
      <c r="F325" s="130"/>
      <c r="G325" s="130"/>
      <c r="H325" s="130"/>
      <c r="I325" s="130"/>
      <c r="J325" s="130"/>
    </row>
    <row r="326" spans="2:11" s="176" customFormat="1" ht="6" customHeight="1" x14ac:dyDescent="0.25">
      <c r="B326" s="130"/>
      <c r="C326" s="130"/>
      <c r="D326" s="130"/>
      <c r="E326" s="130"/>
      <c r="F326" s="130"/>
      <c r="G326" s="130"/>
      <c r="H326" s="130"/>
      <c r="I326" s="130"/>
      <c r="J326" s="130"/>
    </row>
    <row r="327" spans="2:11" s="176" customFormat="1" ht="12.75" customHeight="1" x14ac:dyDescent="0.25">
      <c r="B327" s="284" t="s">
        <v>20</v>
      </c>
      <c r="C327" s="285"/>
      <c r="D327" s="130"/>
      <c r="E327" s="130"/>
      <c r="F327" s="130"/>
      <c r="G327" s="130"/>
      <c r="H327" s="130"/>
      <c r="I327" s="130"/>
      <c r="J327" s="130"/>
    </row>
    <row r="328" spans="2:11" s="176" customFormat="1" ht="12.75" customHeight="1" x14ac:dyDescent="0.25">
      <c r="B328" s="285"/>
      <c r="C328" s="285"/>
      <c r="D328" s="286" t="str">
        <f>IF(D$37&lt;&gt;"",D$37,D$36)</f>
        <v>Member 1</v>
      </c>
      <c r="E328" s="286" t="str">
        <f>IF(E$37&lt;&gt;"",E$37,E$36)</f>
        <v>Member 2</v>
      </c>
      <c r="F328" s="286" t="str">
        <f>IF(F$37&lt;&gt;"",F$37,F$36)</f>
        <v>Member 3</v>
      </c>
      <c r="G328" s="286" t="str">
        <f>IF(G$37&lt;&gt;"",G$37,G$36)</f>
        <v>Member 4</v>
      </c>
      <c r="H328" s="130" t="s">
        <v>21</v>
      </c>
      <c r="I328" s="130"/>
      <c r="J328" s="130"/>
    </row>
    <row r="329" spans="2:11" s="176" customFormat="1" ht="12.75" customHeight="1" x14ac:dyDescent="0.25">
      <c r="B329" s="285" t="s">
        <v>187</v>
      </c>
      <c r="C329" s="285"/>
      <c r="D329" s="287">
        <f>D86</f>
        <v>0</v>
      </c>
      <c r="E329" s="287">
        <f>E86</f>
        <v>0</v>
      </c>
      <c r="F329" s="287">
        <f>F86</f>
        <v>0</v>
      </c>
      <c r="G329" s="287">
        <f>G86</f>
        <v>0</v>
      </c>
      <c r="H329" s="288">
        <f>SUM(D329:G329)</f>
        <v>0</v>
      </c>
      <c r="I329" s="130"/>
      <c r="J329" s="130"/>
    </row>
    <row r="330" spans="2:11" s="176" customFormat="1" ht="12.75" customHeight="1" x14ac:dyDescent="0.25">
      <c r="B330" s="285" t="s">
        <v>188</v>
      </c>
      <c r="C330" s="285"/>
      <c r="D330" s="289">
        <f>SUMIF($B$112:$B$191,"CONTRIBUTION",D$112:D$191)</f>
        <v>0</v>
      </c>
      <c r="E330" s="289">
        <f>SUMIF($B$112:$B$191,"CONTRIBUTION",E$112:E$191)</f>
        <v>0</v>
      </c>
      <c r="F330" s="289">
        <f>SUMIF($B$112:$B$191,"CONTRIBUTION",F$112:F$191)</f>
        <v>0</v>
      </c>
      <c r="G330" s="289">
        <f>SUMIF($B$112:$B$191,"CONTRIBUTION",G$112:G$191)</f>
        <v>0</v>
      </c>
      <c r="H330" s="288">
        <f t="shared" ref="H330:H337" si="20">SUM(D330:G330)</f>
        <v>0</v>
      </c>
      <c r="I330" s="130"/>
      <c r="J330" s="130"/>
    </row>
    <row r="331" spans="2:11" s="176" customFormat="1" ht="12.75" customHeight="1" x14ac:dyDescent="0.25">
      <c r="B331" s="285"/>
      <c r="C331" s="290" t="s">
        <v>193</v>
      </c>
      <c r="D331" s="291">
        <f>D329-D330</f>
        <v>0</v>
      </c>
      <c r="E331" s="291">
        <f>E329-E330</f>
        <v>0</v>
      </c>
      <c r="F331" s="291">
        <f>F329-F330</f>
        <v>0</v>
      </c>
      <c r="G331" s="291">
        <f>G329-G330</f>
        <v>0</v>
      </c>
      <c r="H331" s="292">
        <f t="shared" si="20"/>
        <v>0</v>
      </c>
      <c r="I331" s="292">
        <f>ABS(D331)+ABS(E331)+ABS(F331)+ABS(G331)</f>
        <v>0</v>
      </c>
      <c r="J331" s="130"/>
      <c r="K331" s="221">
        <f>IF(AND(ABS(H331)&lt;1,ABS(I331)&lt;1),0,1)</f>
        <v>0</v>
      </c>
    </row>
    <row r="332" spans="2:11" s="176" customFormat="1" ht="12.75" customHeight="1" x14ac:dyDescent="0.25">
      <c r="B332" s="285" t="s">
        <v>192</v>
      </c>
      <c r="C332" s="285"/>
      <c r="D332" s="287">
        <f>D87</f>
        <v>0</v>
      </c>
      <c r="E332" s="287">
        <f>E87</f>
        <v>0</v>
      </c>
      <c r="F332" s="287">
        <f>F87</f>
        <v>0</v>
      </c>
      <c r="G332" s="287">
        <f>G87</f>
        <v>0</v>
      </c>
      <c r="H332" s="288">
        <f t="shared" si="20"/>
        <v>0</v>
      </c>
      <c r="I332" s="130"/>
      <c r="J332" s="130"/>
      <c r="K332" s="221"/>
    </row>
    <row r="333" spans="2:11" s="176" customFormat="1" ht="12.75" customHeight="1" x14ac:dyDescent="0.25">
      <c r="B333" s="285" t="s">
        <v>189</v>
      </c>
      <c r="C333" s="285"/>
      <c r="D333" s="289">
        <f>SUMIF($B$112:$B$191,"TRANSFER IN",D$112:D$191)</f>
        <v>0</v>
      </c>
      <c r="E333" s="289">
        <f>SUMIF($B$112:$B$191,"TRANSFER IN",E$112:E$191)</f>
        <v>0</v>
      </c>
      <c r="F333" s="289">
        <f>SUMIF($B$112:$B$191,"TRANSFER IN",F$112:F$191)</f>
        <v>0</v>
      </c>
      <c r="G333" s="289">
        <f>SUMIF($B$112:$B$191,"TRANSFER IN",G$112:G$191)</f>
        <v>0</v>
      </c>
      <c r="H333" s="288">
        <f t="shared" si="20"/>
        <v>0</v>
      </c>
      <c r="I333" s="130"/>
      <c r="J333" s="130"/>
      <c r="K333" s="221"/>
    </row>
    <row r="334" spans="2:11" s="176" customFormat="1" ht="12.75" customHeight="1" x14ac:dyDescent="0.25">
      <c r="B334" s="285"/>
      <c r="C334" s="290" t="s">
        <v>193</v>
      </c>
      <c r="D334" s="291">
        <f>D332-D333</f>
        <v>0</v>
      </c>
      <c r="E334" s="291">
        <f>E332-E333</f>
        <v>0</v>
      </c>
      <c r="F334" s="291">
        <f>F332-F333</f>
        <v>0</v>
      </c>
      <c r="G334" s="291">
        <f>G332-G333</f>
        <v>0</v>
      </c>
      <c r="H334" s="292">
        <f t="shared" si="20"/>
        <v>0</v>
      </c>
      <c r="I334" s="292">
        <f>ABS(D334)+ABS(E334)+ABS(F334)+ABS(G334)</f>
        <v>0</v>
      </c>
      <c r="J334" s="130"/>
      <c r="K334" s="221">
        <f>IF(AND(ABS(H334)&lt;1,ABS(I334)&lt;1),0,1)</f>
        <v>0</v>
      </c>
    </row>
    <row r="335" spans="2:11" s="176" customFormat="1" ht="12.75" customHeight="1" x14ac:dyDescent="0.25">
      <c r="B335" s="285" t="s">
        <v>190</v>
      </c>
      <c r="C335" s="285"/>
      <c r="D335" s="287">
        <f>D88</f>
        <v>0</v>
      </c>
      <c r="E335" s="287">
        <f>E88</f>
        <v>0</v>
      </c>
      <c r="F335" s="287">
        <f>F88</f>
        <v>0</v>
      </c>
      <c r="G335" s="287">
        <f>G88</f>
        <v>0</v>
      </c>
      <c r="H335" s="288">
        <f t="shared" si="20"/>
        <v>0</v>
      </c>
      <c r="I335" s="130"/>
      <c r="J335" s="130"/>
      <c r="K335" s="221"/>
    </row>
    <row r="336" spans="2:11" s="176" customFormat="1" ht="12.75" customHeight="1" x14ac:dyDescent="0.25">
      <c r="B336" s="285" t="s">
        <v>191</v>
      </c>
      <c r="C336" s="285"/>
      <c r="D336" s="289">
        <f>SUMIF($B$112:$B$191,"RET. PHASE BENEFIT",D$112:D$191)+SUMIF($B$112:$B$191,"NON RET. PHASE BENEFIT",D$112:D$191)</f>
        <v>0</v>
      </c>
      <c r="E336" s="289">
        <f>SUMIF($B$112:$B$191,"RET. PHASE BENEFIT",E$112:E$191)+SUMIF($B$112:$B$191,"NON RET. PHASE BENEFIT",E$112:E$191)</f>
        <v>0</v>
      </c>
      <c r="F336" s="289">
        <f>SUMIF($B$112:$B$191,"RET. PHASE BENEFIT",F$112:F$191)+SUMIF($B$112:$B$191,"NON RET. PHASE BENEFIT",F$112:F$191)</f>
        <v>0</v>
      </c>
      <c r="G336" s="289">
        <f>SUMIF($B$112:$B$191,"RET. PHASE BENEFIT",G$112:G$191)+SUMIF($B$112:$B$191,"NON RET. PHASE BENEFIT",G$112:G$191)</f>
        <v>0</v>
      </c>
      <c r="H336" s="288">
        <f t="shared" si="20"/>
        <v>0</v>
      </c>
      <c r="I336" s="130"/>
      <c r="J336" s="130"/>
      <c r="K336" s="221"/>
    </row>
    <row r="337" spans="2:11" s="176" customFormat="1" ht="12.75" customHeight="1" x14ac:dyDescent="0.25">
      <c r="B337" s="285"/>
      <c r="C337" s="290" t="s">
        <v>193</v>
      </c>
      <c r="D337" s="291">
        <f>D335-D336</f>
        <v>0</v>
      </c>
      <c r="E337" s="291">
        <f>E335-E336</f>
        <v>0</v>
      </c>
      <c r="F337" s="291">
        <f>F335-F336</f>
        <v>0</v>
      </c>
      <c r="G337" s="291">
        <f>G335-G336</f>
        <v>0</v>
      </c>
      <c r="H337" s="292">
        <f t="shared" si="20"/>
        <v>0</v>
      </c>
      <c r="I337" s="292">
        <f>ABS(D337)+ABS(E337)+ABS(F337)+ABS(G337)</f>
        <v>0</v>
      </c>
      <c r="J337" s="130"/>
      <c r="K337" s="221">
        <f>IF(AND(ABS(H337)&lt;1,ABS(I337)&lt;1),0,1)</f>
        <v>0</v>
      </c>
    </row>
    <row r="338" spans="2:11" s="176" customFormat="1" ht="5.25" customHeight="1" thickBot="1" x14ac:dyDescent="0.3">
      <c r="B338" s="130"/>
      <c r="C338" s="130"/>
      <c r="D338" s="130"/>
      <c r="E338" s="130"/>
      <c r="F338" s="130"/>
      <c r="G338" s="130"/>
      <c r="H338" s="130"/>
      <c r="I338" s="130"/>
      <c r="J338" s="130"/>
    </row>
    <row r="339" spans="2:11" s="176" customFormat="1" ht="19.5" customHeight="1" thickBot="1" x14ac:dyDescent="0.3">
      <c r="B339" s="457" t="s">
        <v>208</v>
      </c>
      <c r="C339" s="458"/>
      <c r="D339" s="458"/>
      <c r="E339" s="458"/>
      <c r="F339" s="458"/>
      <c r="G339" s="458"/>
      <c r="H339" s="458"/>
      <c r="I339" s="458"/>
      <c r="J339" s="459"/>
    </row>
    <row r="341" spans="2:11" x14ac:dyDescent="0.25">
      <c r="I341" s="460" t="str">
        <f ca="1">IF(K284&gt;0,CONCATENATE("Still ",K284," issues to be resolved before finished!"),"The application appears ready to be sent!")</f>
        <v>Still 13 issues to be resolved before finished!</v>
      </c>
      <c r="J341" s="460"/>
    </row>
    <row r="342" spans="2:11" x14ac:dyDescent="0.25">
      <c r="I342" s="460"/>
      <c r="J342" s="460"/>
    </row>
    <row r="343" spans="2:11" x14ac:dyDescent="0.25">
      <c r="I343" s="460"/>
      <c r="J343" s="460"/>
    </row>
    <row r="344" spans="2:11" x14ac:dyDescent="0.25">
      <c r="I344" s="460"/>
      <c r="J344" s="460"/>
    </row>
    <row r="347" spans="2:11" x14ac:dyDescent="0.25">
      <c r="I347" s="462" t="s">
        <v>165</v>
      </c>
      <c r="J347" s="462"/>
    </row>
    <row r="348" spans="2:11" x14ac:dyDescent="0.25">
      <c r="I348" s="470" t="str">
        <f>IF($G$192&lt;&gt;0,"(with uniform transactions):","")</f>
        <v/>
      </c>
      <c r="J348" s="470"/>
    </row>
    <row r="349" spans="2:11" x14ac:dyDescent="0.25">
      <c r="I349" s="463">
        <f ca="1">IF(calcNOgood,"CANNOT CALCULATE!",GL!$AB$379)</f>
        <v>0</v>
      </c>
      <c r="J349" s="463"/>
    </row>
    <row r="351" spans="2:11" x14ac:dyDescent="0.25">
      <c r="I351" s="450"/>
      <c r="J351" s="450"/>
    </row>
    <row r="352" spans="2:11" x14ac:dyDescent="0.25">
      <c r="I352" s="347"/>
      <c r="J352" s="348"/>
    </row>
    <row r="353" spans="9:10" x14ac:dyDescent="0.25">
      <c r="I353" s="347"/>
      <c r="J353" s="348"/>
    </row>
    <row r="354" spans="9:10" x14ac:dyDescent="0.25">
      <c r="I354" s="347"/>
      <c r="J354" s="348"/>
    </row>
    <row r="355" spans="9:10" x14ac:dyDescent="0.25">
      <c r="I355" s="347"/>
      <c r="J355" s="348"/>
    </row>
    <row r="356" spans="9:10" x14ac:dyDescent="0.25">
      <c r="I356" s="450"/>
      <c r="J356" s="450"/>
    </row>
    <row r="357" spans="9:10" x14ac:dyDescent="0.25">
      <c r="I357" s="347"/>
      <c r="J357" s="348"/>
    </row>
    <row r="358" spans="9:10" x14ac:dyDescent="0.25">
      <c r="I358" s="347"/>
      <c r="J358" s="348"/>
    </row>
    <row r="359" spans="9:10" x14ac:dyDescent="0.25">
      <c r="I359" s="347"/>
      <c r="J359" s="348"/>
    </row>
    <row r="360" spans="9:10" x14ac:dyDescent="0.25">
      <c r="I360" s="347"/>
      <c r="J360" s="348"/>
    </row>
    <row r="361" spans="9:10" x14ac:dyDescent="0.25">
      <c r="I361" s="347"/>
      <c r="J361" s="348"/>
    </row>
    <row r="439" spans="3:3" ht="24.75" customHeight="1" x14ac:dyDescent="0.25"/>
    <row r="442" spans="3:3" x14ac:dyDescent="0.25">
      <c r="C442" s="130" t="str">
        <f>CONCATENATE(finyear," Account Balances for Whole Fund")</f>
        <v>2023/24 Account Balances for Whole Fund</v>
      </c>
    </row>
  </sheetData>
  <sheetProtection algorithmName="SHA-512" hashValue="IQpK+pw8kCckvl8r4rLLucy2i1+eSXSMS0RPgoD7VmT5NKHE4Xk4qaqoMJdubgknGOTU5Ym+Oha+iNQb5E5Yjw==" saltValue="hCE0XoAZC8BUZlZtwMevpQ==" spinCount="100000" sheet="1" objects="1" scenarios="1"/>
  <dataConsolidate/>
  <mergeCells count="133">
    <mergeCell ref="B40:C40"/>
    <mergeCell ref="H37:J40"/>
    <mergeCell ref="H35:J35"/>
    <mergeCell ref="B50:J50"/>
    <mergeCell ref="D29:G29"/>
    <mergeCell ref="B33:J33"/>
    <mergeCell ref="D35:G35"/>
    <mergeCell ref="H29:J29"/>
    <mergeCell ref="B65:C65"/>
    <mergeCell ref="B66:C66"/>
    <mergeCell ref="B67:C67"/>
    <mergeCell ref="H64:I64"/>
    <mergeCell ref="H65:I65"/>
    <mergeCell ref="H66:I66"/>
    <mergeCell ref="H67:I67"/>
    <mergeCell ref="D30:G30"/>
    <mergeCell ref="D31:G31"/>
    <mergeCell ref="B59:J59"/>
    <mergeCell ref="H60:I61"/>
    <mergeCell ref="J60:J61"/>
    <mergeCell ref="B61:C61"/>
    <mergeCell ref="B62:C62"/>
    <mergeCell ref="H62:I62"/>
    <mergeCell ref="B48:J48"/>
    <mergeCell ref="B37:C37"/>
    <mergeCell ref="B39:C39"/>
    <mergeCell ref="B42:J42"/>
    <mergeCell ref="G46:J46"/>
    <mergeCell ref="H20:J20"/>
    <mergeCell ref="H21:J21"/>
    <mergeCell ref="H22:J22"/>
    <mergeCell ref="D20:G20"/>
    <mergeCell ref="B24:J24"/>
    <mergeCell ref="B26:C26"/>
    <mergeCell ref="D26:J26"/>
    <mergeCell ref="D27:G27"/>
    <mergeCell ref="D28:G28"/>
    <mergeCell ref="D8:G8"/>
    <mergeCell ref="B9:C9"/>
    <mergeCell ref="D9:G9"/>
    <mergeCell ref="C3:H3"/>
    <mergeCell ref="B10:C10"/>
    <mergeCell ref="D10:F10"/>
    <mergeCell ref="B19:C19"/>
    <mergeCell ref="D19:E19"/>
    <mergeCell ref="H19:J19"/>
    <mergeCell ref="J1:J3"/>
    <mergeCell ref="C4:H4"/>
    <mergeCell ref="B6:J6"/>
    <mergeCell ref="B8:C8"/>
    <mergeCell ref="C1:H1"/>
    <mergeCell ref="C2:H2"/>
    <mergeCell ref="B54:J54"/>
    <mergeCell ref="J55:J56"/>
    <mergeCell ref="B52:C52"/>
    <mergeCell ref="B57:C57"/>
    <mergeCell ref="B55:C55"/>
    <mergeCell ref="B71:C71"/>
    <mergeCell ref="H71:I71"/>
    <mergeCell ref="B82:J82"/>
    <mergeCell ref="B72:C72"/>
    <mergeCell ref="B73:C73"/>
    <mergeCell ref="B74:C74"/>
    <mergeCell ref="B75:C75"/>
    <mergeCell ref="B76:C76"/>
    <mergeCell ref="B70:C70"/>
    <mergeCell ref="H70:I70"/>
    <mergeCell ref="B56:C56"/>
    <mergeCell ref="B68:C68"/>
    <mergeCell ref="H68:I68"/>
    <mergeCell ref="B69:C69"/>
    <mergeCell ref="H69:I69"/>
    <mergeCell ref="H63:I63"/>
    <mergeCell ref="B63:C63"/>
    <mergeCell ref="B64:C64"/>
    <mergeCell ref="B84:G84"/>
    <mergeCell ref="B85:C85"/>
    <mergeCell ref="B86:C86"/>
    <mergeCell ref="B87:C87"/>
    <mergeCell ref="B88:C88"/>
    <mergeCell ref="I116:J116"/>
    <mergeCell ref="B97:G102"/>
    <mergeCell ref="B89:G89"/>
    <mergeCell ref="B91:H91"/>
    <mergeCell ref="B104:J104"/>
    <mergeCell ref="H100:J101"/>
    <mergeCell ref="H97:J98"/>
    <mergeCell ref="B95:J95"/>
    <mergeCell ref="I120:J120"/>
    <mergeCell ref="I125:J125"/>
    <mergeCell ref="B208:J208"/>
    <mergeCell ref="B193:J193"/>
    <mergeCell ref="B196:C196"/>
    <mergeCell ref="D196:G196"/>
    <mergeCell ref="I106:J113"/>
    <mergeCell ref="I117:J117"/>
    <mergeCell ref="B206:C206"/>
    <mergeCell ref="D206:E206"/>
    <mergeCell ref="H206:J206"/>
    <mergeCell ref="I118:J118"/>
    <mergeCell ref="I188:J188"/>
    <mergeCell ref="I189:J189"/>
    <mergeCell ref="I187:J187"/>
    <mergeCell ref="I137:J140"/>
    <mergeCell ref="I142:J143"/>
    <mergeCell ref="I131:J135"/>
    <mergeCell ref="I145:J148"/>
    <mergeCell ref="H195:J196"/>
    <mergeCell ref="B195:C195"/>
    <mergeCell ref="D195:G195"/>
    <mergeCell ref="B197:C197"/>
    <mergeCell ref="D197:F197"/>
    <mergeCell ref="G219:J219"/>
    <mergeCell ref="I356:J356"/>
    <mergeCell ref="B215:J215"/>
    <mergeCell ref="D211:G211"/>
    <mergeCell ref="H210:J212"/>
    <mergeCell ref="B339:J339"/>
    <mergeCell ref="I351:J351"/>
    <mergeCell ref="I341:J344"/>
    <mergeCell ref="B249:I249"/>
    <mergeCell ref="I347:J347"/>
    <mergeCell ref="I349:J349"/>
    <mergeCell ref="B284:I284"/>
    <mergeCell ref="B214:J214"/>
    <mergeCell ref="B221:J221"/>
    <mergeCell ref="B255:I255"/>
    <mergeCell ref="I348:J348"/>
    <mergeCell ref="B282:J283"/>
    <mergeCell ref="B272:J272"/>
    <mergeCell ref="B210:C210"/>
    <mergeCell ref="B211:C211"/>
    <mergeCell ref="B219:F219"/>
  </mergeCells>
  <conditionalFormatting sqref="B257">
    <cfRule type="expression" dxfId="35" priority="12" stopIfTrue="1">
      <formula>OR($I$251="Yes",AND($I$251="No",$I$253="No"),$H$253="")</formula>
    </cfRule>
  </conditionalFormatting>
  <conditionalFormatting sqref="B258:B269">
    <cfRule type="expression" dxfId="34" priority="32" stopIfTrue="1">
      <formula>AND($I$251="No",$I$253="No")</formula>
    </cfRule>
  </conditionalFormatting>
  <conditionalFormatting sqref="B236:E247">
    <cfRule type="expression" dxfId="33" priority="51" stopIfTrue="1">
      <formula>$C236="Unsegregated Period"</formula>
    </cfRule>
  </conditionalFormatting>
  <conditionalFormatting sqref="B282:J283">
    <cfRule type="cellIs" dxfId="32" priority="116" operator="notEqual">
      <formula>"Everything appears to be in order with this application."</formula>
    </cfRule>
  </conditionalFormatting>
  <conditionalFormatting sqref="C288:C296 C298:C301 C304:F305 C307:C309 C311:C320 C322:C324">
    <cfRule type="cellIs" dxfId="31" priority="118" operator="equal">
      <formula>"done"</formula>
    </cfRule>
  </conditionalFormatting>
  <conditionalFormatting sqref="D286:D287">
    <cfRule type="cellIs" dxfId="30" priority="112" operator="equal">
      <formula>"done"</formula>
    </cfRule>
  </conditionalFormatting>
  <conditionalFormatting sqref="D256:G257">
    <cfRule type="expression" dxfId="29" priority="33" stopIfTrue="1">
      <formula>AND($I$251="Yes",$H$251&lt;&gt;"")</formula>
    </cfRule>
  </conditionalFormatting>
  <conditionalFormatting sqref="D259:G259">
    <cfRule type="expression" dxfId="28" priority="48" stopIfTrue="1">
      <formula>AND($I$251="Yes",$C$259&lt;&gt;"")</formula>
    </cfRule>
  </conditionalFormatting>
  <conditionalFormatting sqref="D261:G261">
    <cfRule type="expression" dxfId="27" priority="47" stopIfTrue="1">
      <formula>AND($I$251="Yes",$C$261&lt;&gt;"")</formula>
    </cfRule>
  </conditionalFormatting>
  <conditionalFormatting sqref="D263:G263">
    <cfRule type="expression" dxfId="26" priority="46" stopIfTrue="1">
      <formula>AND($I$251="Yes",$C$263&lt;&gt;"")</formula>
    </cfRule>
  </conditionalFormatting>
  <conditionalFormatting sqref="D265:G265">
    <cfRule type="expression" dxfId="25" priority="45" stopIfTrue="1">
      <formula>AND($I$251="Yes",$C$265&lt;&gt;"")</formula>
    </cfRule>
  </conditionalFormatting>
  <conditionalFormatting sqref="D267:G267">
    <cfRule type="expression" dxfId="24" priority="44" stopIfTrue="1">
      <formula>AND($I$251="Yes",$C$267&lt;&gt;"")</formula>
    </cfRule>
  </conditionalFormatting>
  <conditionalFormatting sqref="D269:G269">
    <cfRule type="expression" dxfId="23" priority="43" stopIfTrue="1">
      <formula>AND($I$251="Yes",$C$269&lt;&gt;"")</formula>
    </cfRule>
  </conditionalFormatting>
  <conditionalFormatting sqref="D331:I331 D334:I334 D337:I337">
    <cfRule type="cellIs" dxfId="22" priority="117" operator="notEqual">
      <formula>0</formula>
    </cfRule>
  </conditionalFormatting>
  <conditionalFormatting sqref="H256:H257">
    <cfRule type="expression" dxfId="21" priority="31" stopIfTrue="1">
      <formula>OR($I$251="Yes",AND($I$251="No",$I$253="No"),$H$253="")</formula>
    </cfRule>
  </conditionalFormatting>
  <conditionalFormatting sqref="H258">
    <cfRule type="expression" dxfId="20" priority="19" stopIfTrue="1">
      <formula>AND($I$251="No",$I$253="Yes",OR($B$258&lt;&gt;"",$B$259&lt;&gt;""))</formula>
    </cfRule>
  </conditionalFormatting>
  <conditionalFormatting sqref="H259">
    <cfRule type="expression" dxfId="19" priority="41" stopIfTrue="1">
      <formula>AND($I$251="No",$I$253="Yes",OR($B$258&lt;&gt;"",$B$259&lt;&gt;""))</formula>
    </cfRule>
  </conditionalFormatting>
  <conditionalFormatting sqref="H260">
    <cfRule type="expression" dxfId="18" priority="11" stopIfTrue="1">
      <formula>AND($I$251="No",$I$253="Yes",OR($B$258&lt;&gt;"",$B$259&lt;&gt;""))</formula>
    </cfRule>
  </conditionalFormatting>
  <conditionalFormatting sqref="H261">
    <cfRule type="expression" dxfId="17" priority="39" stopIfTrue="1">
      <formula>AND($I$251="No",$I$253="Yes",OR($B$260&lt;&gt;"",$B$261&lt;&gt;""))</formula>
    </cfRule>
  </conditionalFormatting>
  <conditionalFormatting sqref="H262">
    <cfRule type="expression" dxfId="16" priority="10" stopIfTrue="1">
      <formula>AND($I$251="No",$I$253="Yes",OR($B$258&lt;&gt;"",$B$259&lt;&gt;""))</formula>
    </cfRule>
  </conditionalFormatting>
  <conditionalFormatting sqref="H263">
    <cfRule type="expression" dxfId="15" priority="38" stopIfTrue="1">
      <formula>AND($I$251="No",$I$253="Yes",OR($B$262&lt;&gt;"",$B$263&lt;&gt;""))</formula>
    </cfRule>
  </conditionalFormatting>
  <conditionalFormatting sqref="H264">
    <cfRule type="expression" dxfId="14" priority="9" stopIfTrue="1">
      <formula>AND($I$251="No",$I$253="Yes",OR($B$258&lt;&gt;"",$B$259&lt;&gt;""))</formula>
    </cfRule>
  </conditionalFormatting>
  <conditionalFormatting sqref="H265">
    <cfRule type="expression" dxfId="13" priority="37" stopIfTrue="1">
      <formula>AND($I$251="No",$I$253="Yes",OR($B$264&lt;&gt;"",$B$265&lt;&gt;""))</formula>
    </cfRule>
  </conditionalFormatting>
  <conditionalFormatting sqref="H266">
    <cfRule type="expression" dxfId="12" priority="8" stopIfTrue="1">
      <formula>AND($I$251="No",$I$253="Yes",OR($B$258&lt;&gt;"",$B$259&lt;&gt;""))</formula>
    </cfRule>
  </conditionalFormatting>
  <conditionalFormatting sqref="H267">
    <cfRule type="expression" dxfId="11" priority="36" stopIfTrue="1">
      <formula>AND($I$251="No",$I$253="Yes",OR($B$266&lt;&gt;"",$B$267&lt;&gt;""))</formula>
    </cfRule>
  </conditionalFormatting>
  <conditionalFormatting sqref="H268">
    <cfRule type="expression" dxfId="10" priority="7" stopIfTrue="1">
      <formula>AND($I$251="No",$I$253="Yes",OR($B$258&lt;&gt;"",$B$259&lt;&gt;""))</formula>
    </cfRule>
  </conditionalFormatting>
  <conditionalFormatting sqref="H269">
    <cfRule type="expression" dxfId="9" priority="35" stopIfTrue="1">
      <formula>AND($I$251="No",$I$253="Yes",OR($B$268&lt;&gt;"",$B$269&lt;&gt;""))</formula>
    </cfRule>
  </conditionalFormatting>
  <conditionalFormatting sqref="I106">
    <cfRule type="cellIs" dxfId="8" priority="115" stopIfTrue="1" operator="equal">
      <formula>"The application appears ready to be sent!"</formula>
    </cfRule>
  </conditionalFormatting>
  <conditionalFormatting sqref="I223">
    <cfRule type="expression" dxfId="7" priority="6" stopIfTrue="1">
      <formula>$H$223&lt;&gt;""</formula>
    </cfRule>
  </conditionalFormatting>
  <conditionalFormatting sqref="I229">
    <cfRule type="expression" dxfId="6" priority="4" stopIfTrue="1">
      <formula>$H$229&lt;&gt;""</formula>
    </cfRule>
  </conditionalFormatting>
  <conditionalFormatting sqref="I251">
    <cfRule type="expression" dxfId="5" priority="34" stopIfTrue="1">
      <formula>$H$251&lt;&gt;""</formula>
    </cfRule>
  </conditionalFormatting>
  <conditionalFormatting sqref="I253">
    <cfRule type="expression" dxfId="4" priority="49" stopIfTrue="1">
      <formula>AND($I$251="No",$H$253&lt;&gt;"")</formula>
    </cfRule>
  </conditionalFormatting>
  <conditionalFormatting sqref="I125:J125">
    <cfRule type="expression" dxfId="3" priority="1">
      <formula>$B$237&lt;&gt;""</formula>
    </cfRule>
  </conditionalFormatting>
  <conditionalFormatting sqref="I126:J129">
    <cfRule type="expression" dxfId="2" priority="2">
      <formula>$B$237&lt;&gt;""</formula>
    </cfRule>
  </conditionalFormatting>
  <conditionalFormatting sqref="I145:J148">
    <cfRule type="cellIs" dxfId="1" priority="113" stopIfTrue="1" operator="equal">
      <formula>"The application appears ready to be sent!"</formula>
    </cfRule>
  </conditionalFormatting>
  <conditionalFormatting sqref="I341:J344">
    <cfRule type="cellIs" dxfId="0" priority="114" stopIfTrue="1" operator="equal">
      <formula>"The application appears ready to be sent!"</formula>
    </cfRule>
  </conditionalFormatting>
  <dataValidations xWindow="1117" yWindow="543" count="58">
    <dataValidation type="whole" operator="greaterThanOrEqual" allowBlank="1" showErrorMessage="1" errorTitle="Total Closing Balance Error" error="Whole Dollar amounts only.  This amount should be at least the value of the closing balance after Net Income." promptTitle="Closing Bal (incl Segregated)" prompt="This should include the value of any segregated assets that weren't included in the form for processing purposes._x000a__x000a_It is a regulatory requirement that this figure appears on the certificate." sqref="H93" xr:uid="{00000000-0002-0000-0000-000000000000}">
      <formula1>J89</formula1>
    </dataValidation>
    <dataValidation type="whole" operator="greaterThanOrEqual" allowBlank="1" showErrorMessage="1" errorTitle="Transfers In - Error" error="Whole Dollar amounts only.  All amounts should be non-negative." promptTitle="Transfers In (External Roll-Ins)" prompt="These are the roll-ins to the Fund for a member from external Funds." sqref="D87:G87" xr:uid="{00000000-0002-0000-0000-000001000000}">
      <formula1>0</formula1>
    </dataValidation>
    <dataValidation type="whole" operator="greaterThanOrEqual" allowBlank="1" showErrorMessage="1" errorTitle="Contributions Error" error="Whole Dollar amounts only.  All amounts should be non-negative." promptTitle="Contributions" prompt="These include both taxable and non-taxable contributions.  For the caculation of the tax exempt percentage the contribution tax has a negligible impact._x000a__x000a_Include all contributions for each member." sqref="D86:G86" xr:uid="{00000000-0002-0000-0000-000002000000}">
      <formula1>0</formula1>
    </dataValidation>
    <dataValidation type="whole" operator="greaterThanOrEqual" allowBlank="1" showErrorMessage="1" errorTitle="Internal Transfer Amount Error" error="Amounts should be in WHOLE DOLLARS and should be greater than zero." promptTitle="Internal Transfer Amount" prompt="How much was transferred between the accounts?_x000a__x000a_Only one entry should be required for each internal transfer." sqref="G62:G71" xr:uid="{00000000-0002-0000-0000-000003000000}">
      <formula1>0</formula1>
    </dataValidation>
    <dataValidation type="date" allowBlank="1" showErrorMessage="1" errorTitle="Internal Transfer Date Error" error="Date must be during the Income Year in question in date format DD/MM/YYYY." promptTitle="Date of Internal Transfer" prompt="On what date did the Internal Transfer occur?_x000a__x000a_If it was on 1st July then it may be simplest to alter the Opening Balances to reflect the balances AFTER the internal transfer occurred.  The result for the calculation and the certificate will be the same." sqref="D62:D71" xr:uid="{00000000-0002-0000-0000-000005000000}">
      <formula1>yrstart</formula1>
      <formula2>yrend</formula2>
    </dataValidation>
    <dataValidation type="whole" operator="greaterThanOrEqual" allowBlank="1" showErrorMessage="1" promptTitle="Pension Balance at Start of Year" prompt="If pension commenced on or before 1st July of the income year in question, what was it's balance at 1st July? _x000a__x000a_This should be the total of ALL pension balances for this member that existed (or were started) on this date." sqref="D56:G56" xr:uid="{00000000-0002-0000-0000-000006000000}">
      <formula1>0</formula1>
    </dataValidation>
    <dataValidation type="whole" operator="greaterThanOrEqual" allowBlank="1" showErrorMessage="1" errorTitle="Reserve Opening Balance Error" error="Whole Dollar amounts only._x000a__x000a_All Opening Balance amounts should be non-negative." promptTitle="Reserve Opening Balance" prompt="Reserve Accounts are non-pension accounts.  Income earned by their assets attracts income tax._x000a__x000a_Please show the Reserve Opening Balance at 1st July of the income year in question." sqref="H52" xr:uid="{00000000-0002-0000-0000-000007000000}">
      <formula1>0</formula1>
    </dataValidation>
    <dataValidation type="list" allowBlank="1" showErrorMessage="1" errorTitle="Reserve Account Error" error="Please choose Yes or No from the Drop Down menu." promptTitle="Reserve Account" prompt="Most funds don't have a reserve, however for those that do it helps to indicate this separately._x000a__x000a_If the reserve only came into place at the END of the income year in question (through allocation of income) it will have no bearing on the calculation." sqref="I36" xr:uid="{00000000-0002-0000-0000-000008000000}">
      <formula1>"Yes, No"</formula1>
    </dataValidation>
    <dataValidation type="whole" operator="greaterThanOrEqual" allowBlank="1" showErrorMessage="1" errorTitle="Non-Pension Opening Balance ERR" error="Whole Dollar amounts only!  _x000a__x000a_All Opening Balance amounts should be non-negative." promptTitle="Non-Pension Balance at 1st July" prompt="What was the balance of the members accumulation/non-pension account at 1st July?_x000a__x000a_If this amount was used to commence a pension on 1st July - put a zero balance here and put the opening balance into the members opening Pension Balance." sqref="D52:G52" xr:uid="{00000000-0002-0000-0000-000009000000}">
      <formula1>0</formula1>
    </dataValidation>
    <dataValidation type="list" allowBlank="1" showErrorMessage="1" errorTitle="Segregated Assets" error="Please choose Yes or No from the drop down menu." promptTitle="Segregated Assets" prompt="If the Fund has SOME segregated assets, the calculation of the percentage needs to be performed on everything OTHER THAN the segregated assets._x000a__x000a_If this is the case, choose Yes and DO NOT INCLUDE the values of the segregated assets in the form." sqref="I45" xr:uid="{00000000-0002-0000-0000-00000A000000}">
      <formula1>"Yes, No"</formula1>
    </dataValidation>
    <dataValidation type="date" allowBlank="1" showErrorMessage="1" errorTitle="Date Fund Ceased" error="Date must be within the income year in question in date format DD/MM/YYYY._x000a__x000a_Do not include unless the Fund wound up during the income year in question." promptTitle="Date Fund Ceased" prompt="Only complete this if the Fund was wound-up during the income year in question._x000a__x000a_Date format DD/MM/YYYY" sqref="F46" xr:uid="{00000000-0002-0000-0000-00000B000000}">
      <formula1>yrstart</formula1>
      <formula2>yrend</formula2>
    </dataValidation>
    <dataValidation type="date" allowBlank="1" showErrorMessage="1" errorTitle="Establishment Date" error="Date must be within the financial year in question in format DD/MM/YYYY._x000a__x000a_Do not provide this date unless it was DURING the financial year in question." promptTitle="Fund Establishment Date" prompt="Only use this for Funds that commenced AFTER 1st July of the Income Year in question._x000a__x000a_Format DD/MM/YYYY" sqref="F45" xr:uid="{00000000-0002-0000-0000-00000C000000}">
      <formula1>yrstart</formula1>
      <formula2>yrend</formula2>
    </dataValidation>
    <dataValidation allowBlank="1" showErrorMessage="1" promptTitle="Member Surname" prompt="Please enter only the members Surname in this field._x000a__x000a_For the applciation, please list only those members who held account balances during the income year in question." sqref="D38:G38" xr:uid="{00000000-0002-0000-0000-00000D000000}"/>
    <dataValidation allowBlank="1" showErrorMessage="1" promptTitle="Member Firstname" prompt="Please enter only the Firstname of the member in this field, unless there are two members with the same name.  _x000a__x000a_In that case please include the middle initial (or name if necessary) for each of those members." sqref="D37:G37" xr:uid="{00000000-0002-0000-0000-00000E000000}"/>
    <dataValidation allowBlank="1" showErrorMessage="1" promptTitle="Trustee Names" prompt="If the Fund does not have a Corporate Trustee, please enter the name of each Trustee in full, using a separate row for each." sqref="D28:G31" xr:uid="{00000000-0002-0000-0000-00000F000000}"/>
    <dataValidation allowBlank="1" showErrorMessage="1" promptTitle="Corporate Trustee" prompt="If the Fund has a Corporate Trustee (i.e. ABC Pty Ltd) then please provide that company name here. Do not include individual trustee names or directors of the corporate trustee._x000a__x000a_If the Trustees are individuals only, leave this field blank._x000a__x000a_" sqref="D27:G27" xr:uid="{00000000-0002-0000-0000-000010000000}"/>
    <dataValidation allowBlank="1" showErrorMessage="1" promptTitle="Name of Superannuation Fund" prompt="Please ensure the Fund Name is as set out in the Trust Deed._x000a__x000a_DO NOT include Trustee information in the Fund Name (i.e. do not enter something like ABC Pty Ltd ATF ABC Superannuation Fund)." sqref="D26:J26" xr:uid="{00000000-0002-0000-0000-000011000000}"/>
    <dataValidation allowBlank="1" showInputMessage="1" showErrorMessage="1" promptTitle="Email Addresses for Invoice" prompt="NOT A REQUIRED FIELD._x000a__x000a_You can have the invoice emailed to up to three other email addresses._x000a__x000a_By default the invoice will be emailed to the main Contact Person." sqref="H20:J22" xr:uid="{00000000-0002-0000-0000-000012000000}"/>
    <dataValidation allowBlank="1" showErrorMessage="1" promptTitle="Email for copies of Certificate" prompt="THIS IS NOT A REQUIRED FIELD._x000a__x000a_You can have the certificate emailed to another three email addresses._x000a__x000a_By default the certificate will be emailed to the main Contact Person." sqref="D21:D22 E21:E22" xr:uid="{00000000-0002-0000-0000-000013000000}"/>
    <dataValidation allowBlank="1" showInputMessage="1" showErrorMessage="1" promptTitle="Contact Person - email address" prompt="This is where the certificate, letter and invoice will be emailed to (as well as the tax exempt percentage once it has been calculated)._x000a__x000a_It is also a point of contact for further information if required." sqref="H19:J19" xr:uid="{00000000-0002-0000-0000-000014000000}"/>
    <dataValidation allowBlank="1" showErrorMessage="1" promptTitle="Contact Name" prompt="It is important to know who should be contacted in case further details or clarification is necessary.  This is also assumed to be the person we will send the results to._x000a__x000a_Most often it is YOU or your supervisor." sqref="D19:E19" xr:uid="{00000000-0002-0000-0000-000015000000}"/>
    <dataValidation allowBlank="1" showErrorMessage="1" promptTitle="Phone Number" prompt="This is so we can call you if additional information is required._x000a__x000a_Please include area code - e.g. 03 6225 2281" sqref="J9" xr:uid="{00000000-0002-0000-0000-000017000000}"/>
    <dataValidation allowBlank="1" showErrorMessage="1" promptTitle="Company" prompt="The name of the firm providing the information to Act2._x000a__x000a_If you are the Trustees of the Fund, please only enter the word Trustees here." sqref="D8:G8" xr:uid="{00000000-0002-0000-0000-000019000000}"/>
    <dataValidation type="whole" operator="greaterThan" allowBlank="1" showErrorMessage="1" errorTitle="Transaction Dates" error="Use WHOLE DOLLAR amounts only." promptTitle="Transaction Amount" prompt="Please use WHOLE DOLLAR amounts only._x000a__x000a_For regular and even transactions throughout the year (uniform) list the TOTAL here and don't put a date in the Transaction Date field._x000a__x000a_i.e. $1000 per month show as $12,000 with no date." sqref="D112:G191" xr:uid="{00000000-0002-0000-0000-00001A000000}">
      <formula1>-99999999</formula1>
    </dataValidation>
    <dataValidation type="list" allowBlank="1" showErrorMessage="1" errorTitle="Transaction Type Error" error="Please choose from Drop Down Menu_x000a__x000a_CONTRIBUTION,_x000a_TRANSFER IN,_x000a_PENSION BENEFIT or_x000a_ACCUMULATION BENEFIT" promptTitle="Transaction Type" prompt="The dates for Contributions, Transfers In and Benefits Paid are required._x000a__x000a_Choose the Transaction Type from the Drop Down Menu._x000a__x000a_PENSION BENEFIT - benefits paid from the Pension Account._x000a__x000a_ACCUMULATION BENEFIT - benefits paid from the non-pension account." sqref="B112:B191" xr:uid="{00000000-0002-0000-0000-00001B000000}">
      <formula1>transtypes</formula1>
    </dataValidation>
    <dataValidation type="whole" allowBlank="1" showErrorMessage="1" promptTitle="Net Income" prompt="NOT a required field.  The Net Income figure is NOT used in the calculation of the tax exempt percentage._x000a__x000a_This has been included to allow users to check the Closing Balance against their financials." sqref="J86" xr:uid="{00000000-0002-0000-0000-00001C000000}">
      <formula1>-99999999</formula1>
      <formula2>99999999</formula2>
    </dataValidation>
    <dataValidation type="whole" operator="greaterThanOrEqual" allowBlank="1" showErrorMessage="1" errorTitle="Benefits Paid - Error" error="Whole Dollar amounts only.  All amounts should be non-negative." promptTitle="Benefits Paid" prompt="This includes Pension Payments as well as other Withdrawals from either the Pension Account or the Non-Pension (Accumulation) Account._x000a__x000a_The Transaction Dates section allows you to indicate which account type the benefit was paid from." sqref="D88:G88" xr:uid="{00000000-0002-0000-0000-00001D000000}">
      <formula1>0</formula1>
    </dataValidation>
    <dataValidation type="whole" operator="greaterThanOrEqual" allowBlank="1" showErrorMessage="1" errorTitle="How Much Left Error" error="Amounts should be in WHOLE DOLLARS and should be greater than zero." promptTitle="Internal Transfer how much left?" prompt="If the FROM account wasn't drained to zero, what was it's balance immediately after the Internal Transfer?_x000a__x000a_This is vital for accurate calculation of the tax exempt percentage." sqref="J62:J71" xr:uid="{00000000-0002-0000-0000-00001F000000}">
      <formula1>0</formula1>
    </dataValidation>
    <dataValidation type="date" allowBlank="1" showErrorMessage="1" errorTitle="Invalid Transaction Date" error="Date must be within the Income Year in question._x000a__x000a_Date format should be DD/MM/YYYY - check short date format in Control Panel." promptTitle="Transaction Date" prompt="Please indicate the date of the member transactions (Contributions, Transfers In and Benefit Payments).  _x000a__x000a_Use Date Format DD/MM/YYYY_x000a__x000a_If transactions were uniform (same amount each month) show the TOTAL to the right but leave this date field blank." sqref="C112:C191" xr:uid="{00000000-0002-0000-0000-000020000000}">
      <formula1>yrstart</formula1>
      <formula2>yrend</formula2>
    </dataValidation>
    <dataValidation type="whole" allowBlank="1" showErrorMessage="1" errorTitle="Postal Address Error" error="I think you might have made a typo!" promptTitle="Postal Address - Postcode" prompt="Please ensure this coincides with the Postal Address not the Street Address." sqref="J10" xr:uid="{00000000-0002-0000-0000-000021000000}">
      <formula1>0</formula1>
      <formula2>9999</formula2>
    </dataValidation>
    <dataValidation type="whole" allowBlank="1" showErrorMessage="1" errorTitle="Invalid Client Reference Number" error="This must be a 4 digit number provided to you by Act2 Solutions." promptTitle="Client Number" prompt="To aid invoicing and follow up service, it is helpful for each client to have a unique Client Number._x000a__x000a_If you know the Client Number of your company, please enter it here.  It is the first 4 digits of the Reference Numbers allocated to each certificate." sqref="J8" xr:uid="{00000000-0002-0000-0000-000022000000}">
      <formula1>1001</formula1>
      <formula2>9999</formula2>
    </dataValidation>
    <dataValidation type="date" allowBlank="1" showErrorMessage="1" errorTitle="Date of Birth Error" error="Dates of Birth need to be in the format DD/MM/YYYY.  If this isn't working check the 'short date' format in your Control Panel." promptTitle="Member Date of Birth" prompt="Please enter the Date of Birth for members with account balances._x000a__x000a_Please use the correct date format DD/MM/YYYY.  If this doesn't work you may need to change the 'short date' format in the Control Panel of your computer." sqref="D39:G39" xr:uid="{00000000-0002-0000-0000-000023000000}">
      <formula1>1</formula1>
      <formula2>40360</formula2>
    </dataValidation>
    <dataValidation type="list" allowBlank="1" showErrorMessage="1" errorTitle="From Account Zero Error" error="Please choose Yes or No from the Drop Down Menu!" promptTitle="Was FROM Account emptied out?" prompt="After the Internal Transfer was the FROM account drained to zero or not?_x000a__x000a_This is very important for the accuracy of the calculation." sqref="H62:I71" xr:uid="{00000000-0002-0000-0000-000025000000}">
      <formula1>"Yes, No"</formula1>
    </dataValidation>
    <dataValidation type="list" allowBlank="1" showErrorMessage="1" errorTitle="Income Year Error" error="Please use the drop-down box to choose the appropriate year.  If the year you require isn't on the list, please call 1800 230 737." promptTitle="Income Year of Certificate" prompt="We must calculate the tax exempt percentage for the entire financial year.  We cannot calculate it for the current year (unless the Fund has been wound up during the year)." sqref="F44" xr:uid="{00000000-0002-0000-0000-000026000000}">
      <formula1>FYears</formula1>
    </dataValidation>
    <dataValidation type="list" allowBlank="1" showErrorMessage="1" errorTitle="Sate/Territory Error" error="Please choose from the drop-down list.  Typing it directly can create errors due to capitalisation and punctuation." promptTitle="Postal Address - State/Territory" prompt="State or Territory that your company is located in." sqref="H10" xr:uid="{00000000-0002-0000-0000-000027000000}">
      <formula1>$H$11:$H$18</formula1>
    </dataValidation>
    <dataValidation type="list" allowBlank="1" showErrorMessage="1" errorTitle="State/Territory Error" error="Please choose from the drop-down list.  Typing it directly can create errors due to capitalisation and punctuation." promptTitle="Postal Address - State/Territory" prompt="State or Territory that the Invoiced Company is located in." sqref="H197" xr:uid="{00000000-0002-0000-0000-000028000000}">
      <formula1>$H$198:$H$205</formula1>
    </dataValidation>
    <dataValidation allowBlank="1" showErrorMessage="1" promptTitle="Company being Invoiced" prompt="The name of the firm or individual making the payment to Act2 (only if different from the Administration Company listed at the top of this form)." sqref="D195:G195" xr:uid="{00000000-0002-0000-0000-000029000000}"/>
    <dataValidation allowBlank="1" showErrorMessage="1" promptTitle="Postal Address" prompt="If they have a PO (or GPO) Box, please provide those details rather than the street address." sqref="D196:G196" xr:uid="{00000000-0002-0000-0000-00002A000000}"/>
    <dataValidation allowBlank="1" showErrorMessage="1" promptTitle="Postal Address- Town/Suburb/City" prompt="Please enter the Town, Suburb or City of the Postal Address of the Company/Individual being invoiced." sqref="D197:F197" xr:uid="{00000000-0002-0000-0000-00002B000000}"/>
    <dataValidation type="whole" allowBlank="1" showErrorMessage="1" errorTitle="Postcode Error" error="I think you may have made a typo!" promptTitle="Postal Address - Postcode" prompt="Please ensure this coincides with the Postal Address not the Street Address." sqref="J197" xr:uid="{00000000-0002-0000-0000-00002C000000}">
      <formula1>0</formula1>
      <formula2>9999</formula2>
    </dataValidation>
    <dataValidation type="textLength" operator="equal" allowBlank="1" showInputMessage="1" showErrorMessage="1" errorTitle="Credit Card Number Error" error="Please enter four digits (only) in each of the four cells for the Credit Card Number._x000a__x000a_Hit Esc to try again." promptTitle="Credit Card Number (groups of 4)" prompt="Please enter the Credit Card Number four digits at a time in each of the four cells here._x000a__x000a_Hit Tab to move to the next cell." sqref="D210:G210" xr:uid="{00000000-0002-0000-0000-00002D000000}">
      <formula1>4</formula1>
    </dataValidation>
    <dataValidation allowBlank="1" showInputMessage="1" showErrorMessage="1" promptTitle="Name as appears on Credit Card" prompt="Card Holders name only - do not include company name." sqref="D211:G211" xr:uid="{00000000-0002-0000-0000-00002E000000}"/>
    <dataValidation type="list" allowBlank="1" showInputMessage="1" showErrorMessage="1" errorTitle="Credit Card Type" error="Can only be Mastercard or VISA - please choose from the drop-down list._x000a__x000a_Hit Esc to try again." promptTitle="Credit Card Type" prompt="Sorry but we can only handle processing of purchases from Mastercard or VISA cards._x000a__x000a_We apologise for any inconvenience caused._x000a__x000a_Please choose one of these from the drop-down menu." sqref="C212" xr:uid="{00000000-0002-0000-0000-00002F000000}">
      <formula1>"Mastercard, VISA"</formula1>
    </dataValidation>
    <dataValidation type="list" allowBlank="1" showInputMessage="1" showErrorMessage="1" errorTitle="Error with Expiry Month" error="Please either choose the month from the drop-down list or enter the month as a 2-digit number e.g. &quot;02&quot; for February._x000a__x000a_Hit Esc and try again." promptTitle="Month Credit Card Expires" prompt="Please either choose the month from the drop-down list or enter the month as a 2-digit number e.g. &quot;01&quot; for January." sqref="E212" xr:uid="{00000000-0002-0000-0000-000030000000}">
      <formula1>"01,02,03,04,05,06,07,08,09,10,11,12"</formula1>
    </dataValidation>
    <dataValidation type="list" allowBlank="1" showInputMessage="1" showErrorMessage="1" errorTitle="Expiry Year Error" error="Please choose the last two digits of the expiry year from the drop-down list or enter as a 2-digit number e.g. &quot;12&quot; for 2012._x000a__x000a_Hit Esc and try again." promptTitle="Credit Card Year of Expiry" prompt="Please choose the last two digits of the expiry year from the drop-down list or enter as a 2-digit number e.g. &quot;12&quot; for 2012." sqref="G212" xr:uid="{00000000-0002-0000-0000-000031000000}">
      <formula1>"18,19,20, 21, 22, 23, 24, 25"</formula1>
    </dataValidation>
    <dataValidation allowBlank="1" showErrorMessage="1" promptTitle="Contact Name" prompt="It is important for us to know who should be contacted in case payment is overdue." sqref="D206:E206" xr:uid="{00000000-0002-0000-0000-000032000000}"/>
    <dataValidation allowBlank="1" showErrorMessage="1" promptTitle="Contact Person - email address" prompt="This is where the invoice will be emailed to." sqref="H206:J206" xr:uid="{00000000-0002-0000-0000-000033000000}"/>
    <dataValidation type="date" allowBlank="1" showErrorMessage="1" errorTitle="Date Exited Fund Error" error="Date Exited needs to be in the format DD/MM/YYYY and the date needs to be in the financial year in question." promptTitle="Date Member Exited Fund" prompt="This is only applicable if the member exited the fund during the financial year in question._x000a__x000a_This can be either through death or via withdrawal from the Fund.  Please enter the date in DD/MM/YYYY format." sqref="D40:G40" xr:uid="{00000000-0002-0000-0000-000034000000}">
      <formula1>yrstart</formula1>
      <formula2>yrend</formula2>
    </dataValidation>
    <dataValidation type="list" allowBlank="1" showErrorMessage="1" errorTitle="IT Description Error" error="Please choose from the Drop Down Menu." promptTitle="Description of Internal Transfer" prompt="This area should be used for Transfers between accounts within the Fund._x000a__x000a_If an appropriate description cannot be found here, please choose 'Other' and use the Comments section near the bottom of the form to provide more information." sqref="B62:C71" xr:uid="{00000000-0002-0000-0000-000035000000}">
      <formula1>IntTransTypes</formula1>
    </dataValidation>
    <dataValidation type="whole" allowBlank="1" showErrorMessage="1" errorTitle="Invalid Reference Num" error="Reference Number must be the 8 digit number of the Certificate that you require amended." promptTitle="Certificate Number of Amendment" prompt="Please enter the Reference Number of the Certificate that you are requesting a free amendment for._x000a__x000a_This will help us to prepare an amended certificate for you without generating a new invoice." sqref="J4" xr:uid="{00000000-0002-0000-0000-000037000000}">
      <formula1>10000000</formula1>
      <formula2>99999999</formula2>
    </dataValidation>
    <dataValidation allowBlank="1" showErrorMessage="1" promptTitle="Client unique Fund Code" prompt="Some firms use a unique identifier for each of their Super Funds (often due to duplication or simiilarity of fund names)._x000a__x000a_If you have a unique code to identify this fund, please enter it here and we will include it in our invoice to assist you." sqref="J31" xr:uid="{00000000-0002-0000-0000-000038000000}"/>
    <dataValidation type="list" allowBlank="1" showErrorMessage="1" errorTitle="Segregated Assets" error="Please choose Yes or No from the drop down menu." promptTitle="Segregated Method eligibility" prompt="If there is a member of the Fund receiving an Income Stream (either in this Fund or elsewhere) who had a Total Super Balance in excess of $1.6 million immediately before the start of this income year, the Fund is NOT eligible to use the Segregated Method." sqref="I229" xr:uid="{00000000-0002-0000-0000-000039000000}">
      <formula1>"Yes, No"</formula1>
    </dataValidation>
    <dataValidation type="list" allowBlank="1" showInputMessage="1" showErrorMessage="1" errorTitle="Segregated Assets" error="Please choose Yes or No from the drop down menu." promptTitle="Member Account Balances" prompt="Due to the Deemed Segregation Periods, it is best that we prepare the calculations of tax exempt percentage using updated member account balances at the start of each Unsegregated Period._x000a_If you have those figures, choose &quot;Yes&quot; and enter figures below." sqref="I251" xr:uid="{00000000-0002-0000-0000-00003A000000}">
      <formula1>"Yes, No"</formula1>
    </dataValidation>
    <dataValidation type="list" allowBlank="1" showInputMessage="1" showErrorMessage="1" errorTitle="Segregated Assets" error="Please choose Yes or No from the drop down menu." promptTitle="Total Fund Balances" prompt="If you don't have the member account balances for the start of the Unsegregated Periods, it's possible you are able to determine the Total Fund Balance at those dates._x000a_If so, choose &quot;Yes&quot; and enter the balances in the cells below." sqref="I253" xr:uid="{00000000-0002-0000-0000-00003B000000}">
      <formula1>"Yes, No"</formula1>
    </dataValidation>
    <dataValidation allowBlank="1" showErrorMessage="1" errorTitle="IT Description Error" error="Please choose from the Drop Down Menu." promptTitle="Description of Internal Transfer" prompt="This area should be used for Transfers between accounts within the Fund._x000a__x000a_If an appropriate description cannot be found here, please choose 'Other' and use the Comments section near the bottom of the form to provide more information." sqref="B72 B73:C73 C75 B74:B76" xr:uid="{9B173A44-0883-4D23-8A72-B16DF2AAAF66}"/>
    <dataValidation type="list" allowBlank="1" showErrorMessage="1" sqref="E62:F71" xr:uid="{B72DF1AD-EC67-4DE2-A2E4-978B1DE545CA}">
      <formula1>MemAccts</formula1>
    </dataValidation>
    <dataValidation allowBlank="1" showErrorMessage="1" sqref="D9:G9 D10:F10 B97:G102" xr:uid="{BBA8E1EA-7EEF-418B-8B9D-A63D01FD263B}"/>
    <dataValidation type="list" allowBlank="1" showInputMessage="1" showErrorMessage="1" errorTitle="Segregated Assets" error="Please choose Yes or No from the drop down menu." promptTitle="Segregated Method eligibility" prompt="If there is a member of the Fund receiving an Income Stream (either in this Fund or elsewhere) who had a Total Super Balance in excess of $1.6 million immediately before the start of this income year, the Fund is NOT eligible to use the Segregated Method." sqref="I223" xr:uid="{76CEF36C-015D-4B9C-8DC4-D7F7AD3BDBDF}">
      <formula1>"Yes, No"</formula1>
    </dataValidation>
  </dataValidations>
  <hyperlinks>
    <hyperlink ref="E273" r:id="rId1" xr:uid="{00000000-0004-0000-0000-000001000000}"/>
  </hyperlinks>
  <printOptions horizontalCentered="1"/>
  <pageMargins left="0.15748031496062992" right="0.11811023622047245" top="0.39370078740157483" bottom="0.35433070866141736" header="0.19685039370078741" footer="0.15748031496062992"/>
  <pageSetup paperSize="9" scale="61" fitToHeight="0" orientation="portrait" r:id="rId2"/>
  <headerFooter alignWithMargins="0">
    <oddHeader>&amp;LAct2 Solutions Pty Ltd&amp;RABP Application Form</oddHeader>
    <oddFooter>Page &amp;P of &amp;N</oddFooter>
  </headerFooter>
  <ignoredErrors>
    <ignoredError sqref="C259 C261 C263 C265 C267" formula="1"/>
  </ignoredError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W381"/>
  <sheetViews>
    <sheetView topLeftCell="BF1" workbookViewId="0">
      <pane ySplit="3" topLeftCell="A4" activePane="bottomLeft" state="frozen"/>
      <selection pane="bottomLeft" activeCell="BM1" sqref="BM1"/>
    </sheetView>
  </sheetViews>
  <sheetFormatPr defaultColWidth="9.140625" defaultRowHeight="15" x14ac:dyDescent="0.25"/>
  <cols>
    <col min="1" max="1" width="9.140625" style="2"/>
    <col min="2" max="2" width="18.7109375" style="2" customWidth="1"/>
    <col min="3" max="3" width="17.85546875" style="5" customWidth="1"/>
    <col min="4" max="7" width="12.7109375" style="2" customWidth="1"/>
    <col min="8" max="8" width="13.42578125" style="2" customWidth="1"/>
    <col min="9" max="9" width="18.7109375" style="2" customWidth="1"/>
    <col min="10" max="10" width="14.7109375" style="5" customWidth="1"/>
    <col min="11" max="15" width="12.7109375" style="2" customWidth="1"/>
    <col min="16" max="16" width="13.28515625" style="2" bestFit="1" customWidth="1"/>
    <col min="17" max="25" width="12.7109375" style="2" customWidth="1"/>
    <col min="26" max="26" width="9.140625" style="2"/>
    <col min="27" max="27" width="10.140625" bestFit="1" customWidth="1"/>
    <col min="28" max="38" width="12.7109375" style="2" customWidth="1"/>
    <col min="39" max="39" width="9.140625" style="2"/>
    <col min="40" max="40" width="10.140625" bestFit="1" customWidth="1"/>
    <col min="41" max="42" width="12.7109375" style="2" customWidth="1"/>
    <col min="43" max="46" width="14.28515625" style="2" customWidth="1"/>
    <col min="47" max="47" width="9.140625" style="2"/>
    <col min="48" max="51" width="14.28515625" style="2" customWidth="1"/>
    <col min="52" max="60" width="9.140625" style="2"/>
    <col min="61" max="64" width="10.7109375" style="2" bestFit="1" customWidth="1"/>
    <col min="65" max="65" width="10.140625" style="2" bestFit="1" customWidth="1"/>
    <col min="66" max="66" width="9.140625" style="2"/>
    <col min="67" max="67" width="11.42578125" style="2" customWidth="1"/>
    <col min="68" max="68" width="14.85546875" style="2" customWidth="1"/>
    <col min="69" max="69" width="12.85546875" style="2" customWidth="1"/>
    <col min="70" max="70" width="11" style="2" customWidth="1"/>
    <col min="71" max="71" width="9.140625" style="2"/>
    <col min="72" max="72" width="10.5703125" style="2" bestFit="1" customWidth="1"/>
    <col min="73" max="75" width="9.140625" style="2"/>
    <col min="76" max="77" width="10.7109375" style="2" bestFit="1" customWidth="1"/>
    <col min="78" max="78" width="9.140625" style="2"/>
    <col min="79" max="80" width="11.140625" style="2" customWidth="1"/>
    <col min="81" max="82" width="9.140625" style="2"/>
    <col min="83" max="83" width="10.7109375" style="2" bestFit="1" customWidth="1"/>
    <col min="84" max="84" width="10.7109375" style="2" customWidth="1"/>
    <col min="85" max="85" width="9.140625" style="2"/>
    <col min="86" max="86" width="2.140625" style="366" customWidth="1"/>
    <col min="87" max="87" width="11.85546875" style="2" customWidth="1"/>
    <col min="88" max="91" width="10.42578125" style="2" customWidth="1"/>
    <col min="92" max="92" width="11.5703125" style="2" bestFit="1" customWidth="1"/>
    <col min="93" max="93" width="10.7109375" style="2" bestFit="1" customWidth="1"/>
    <col min="94" max="94" width="12.5703125" style="2" bestFit="1" customWidth="1"/>
    <col min="95" max="95" width="9.140625" style="2"/>
    <col min="96" max="98" width="10.7109375" style="2" bestFit="1" customWidth="1"/>
    <col min="99" max="99" width="9.140625" style="2"/>
    <col min="100" max="100" width="11.7109375" style="2" customWidth="1"/>
    <col min="101" max="101" width="11.5703125" style="2" bestFit="1" customWidth="1"/>
    <col min="102" max="103" width="9.28515625" style="2" bestFit="1" customWidth="1"/>
    <col min="104" max="104" width="13.28515625" style="2" bestFit="1" customWidth="1"/>
    <col min="105" max="105" width="11.5703125" style="2" customWidth="1"/>
    <col min="106" max="112" width="9.140625" style="2"/>
    <col min="113" max="113" width="10.7109375" style="2" bestFit="1" customWidth="1"/>
    <col min="114" max="115" width="9.140625" style="2"/>
    <col min="116" max="116" width="10.7109375" style="2" bestFit="1" customWidth="1"/>
    <col min="117" max="118" width="9.140625" style="2"/>
    <col min="119" max="119" width="10.7109375" style="2" bestFit="1" customWidth="1"/>
    <col min="120" max="121" width="9.140625" style="2"/>
    <col min="122" max="122" width="10.7109375" style="2" bestFit="1" customWidth="1"/>
    <col min="123" max="124" width="9.140625" style="2"/>
    <col min="125" max="125" width="10.7109375" style="2" bestFit="1" customWidth="1"/>
    <col min="126" max="16384" width="9.140625" style="2"/>
  </cols>
  <sheetData>
    <row r="1" spans="2:127" ht="15.75" thickTop="1" x14ac:dyDescent="0.25">
      <c r="B1" s="2" t="s">
        <v>81</v>
      </c>
      <c r="C1" s="3">
        <f>YearStart+DaysInYear/2</f>
        <v>45291</v>
      </c>
      <c r="D1" s="4"/>
      <c r="E1" s="4"/>
      <c r="F1" s="4"/>
      <c r="R1" s="588" t="s">
        <v>0</v>
      </c>
      <c r="S1" s="589"/>
      <c r="T1" s="588" t="s">
        <v>1</v>
      </c>
      <c r="U1" s="592"/>
      <c r="V1" s="588" t="s">
        <v>2</v>
      </c>
      <c r="W1" s="592"/>
      <c r="X1" s="588" t="s">
        <v>3</v>
      </c>
      <c r="Y1" s="592"/>
      <c r="Z1" s="6" t="s">
        <v>49</v>
      </c>
      <c r="AB1" s="588" t="s">
        <v>0</v>
      </c>
      <c r="AC1" s="589"/>
      <c r="AD1" s="174"/>
      <c r="AE1" s="588" t="s">
        <v>1</v>
      </c>
      <c r="AF1" s="589"/>
      <c r="AG1" s="174"/>
      <c r="AH1" s="588" t="s">
        <v>2</v>
      </c>
      <c r="AI1" s="589"/>
      <c r="AJ1" s="174"/>
      <c r="AK1" s="588" t="s">
        <v>3</v>
      </c>
      <c r="AL1" s="589"/>
      <c r="AM1" s="6" t="s">
        <v>49</v>
      </c>
      <c r="AO1" s="593" t="s">
        <v>82</v>
      </c>
      <c r="AP1" s="594"/>
      <c r="AQ1" s="6" t="s">
        <v>0</v>
      </c>
      <c r="AR1" s="7" t="s">
        <v>1</v>
      </c>
      <c r="AS1" s="7" t="s">
        <v>2</v>
      </c>
      <c r="AT1" s="7" t="s">
        <v>3</v>
      </c>
      <c r="AU1" s="6" t="s">
        <v>49</v>
      </c>
      <c r="AV1" s="294" t="s">
        <v>0</v>
      </c>
      <c r="AW1" s="295" t="s">
        <v>1</v>
      </c>
      <c r="AX1" s="295" t="s">
        <v>2</v>
      </c>
      <c r="AY1" s="295" t="s">
        <v>3</v>
      </c>
      <c r="AZ1" s="2" t="s">
        <v>83</v>
      </c>
      <c r="BD1" s="2" t="s">
        <v>83</v>
      </c>
      <c r="BH1" s="2" t="s">
        <v>209</v>
      </c>
      <c r="BI1" s="297" t="s">
        <v>209</v>
      </c>
      <c r="BJ1" s="297" t="s">
        <v>209</v>
      </c>
      <c r="BK1" s="299">
        <f>start_year</f>
        <v>45108</v>
      </c>
      <c r="BL1" s="299">
        <f>end_year</f>
        <v>45473</v>
      </c>
      <c r="BM1" s="385" t="str">
        <f>IF(BK1&gt;VALUE("30/6/2017"),IF(seg_eligible="Yes",IF(VALUE(RIGHT(finyear,2))&gt;21,seg_choice,seg_eligible),seg_eligible),"No")</f>
        <v>Yes</v>
      </c>
      <c r="BN1" s="416" t="str">
        <f>IF(BK4=BK1,"D","U")</f>
        <v>U</v>
      </c>
      <c r="BO1" s="2" t="s">
        <v>219</v>
      </c>
      <c r="BP1" s="2" t="s">
        <v>94</v>
      </c>
      <c r="BR1" s="2" t="s">
        <v>218</v>
      </c>
      <c r="BS1" s="2" t="s">
        <v>0</v>
      </c>
      <c r="BT1" s="2" t="s">
        <v>1</v>
      </c>
      <c r="BU1" s="2" t="s">
        <v>2</v>
      </c>
      <c r="BV1" s="2" t="s">
        <v>3</v>
      </c>
      <c r="CV1" s="2" t="s">
        <v>238</v>
      </c>
      <c r="CW1" s="2" t="s">
        <v>238</v>
      </c>
      <c r="CX1" s="2" t="s">
        <v>238</v>
      </c>
      <c r="CY1" s="2" t="s">
        <v>238</v>
      </c>
      <c r="DI1" s="384" t="s">
        <v>244</v>
      </c>
    </row>
    <row r="2" spans="2:127" ht="15.75" thickBot="1" x14ac:dyDescent="0.3">
      <c r="B2" s="599" t="s">
        <v>84</v>
      </c>
      <c r="C2" s="599"/>
      <c r="D2" s="599"/>
      <c r="E2" s="599"/>
      <c r="F2" s="599"/>
      <c r="G2" s="599"/>
      <c r="H2" s="599"/>
      <c r="I2" s="599"/>
      <c r="J2" s="599"/>
      <c r="K2" s="599"/>
      <c r="L2" s="599"/>
      <c r="M2" s="599"/>
      <c r="N2" s="599"/>
      <c r="O2" s="599"/>
      <c r="R2" s="591" t="s">
        <v>85</v>
      </c>
      <c r="S2" s="597"/>
      <c r="T2" s="591" t="s">
        <v>85</v>
      </c>
      <c r="U2" s="590"/>
      <c r="V2" s="591" t="s">
        <v>85</v>
      </c>
      <c r="W2" s="590"/>
      <c r="X2" s="591" t="s">
        <v>85</v>
      </c>
      <c r="Y2" s="590"/>
      <c r="Z2" s="8" t="s">
        <v>86</v>
      </c>
      <c r="AB2" s="591" t="s">
        <v>87</v>
      </c>
      <c r="AC2" s="597"/>
      <c r="AD2" s="5"/>
      <c r="AE2" s="591" t="s">
        <v>87</v>
      </c>
      <c r="AF2" s="597"/>
      <c r="AG2" s="5"/>
      <c r="AH2" s="591" t="s">
        <v>87</v>
      </c>
      <c r="AI2" s="597"/>
      <c r="AJ2" s="5"/>
      <c r="AK2" s="591" t="s">
        <v>87</v>
      </c>
      <c r="AL2" s="597"/>
      <c r="AM2" s="8" t="s">
        <v>88</v>
      </c>
      <c r="AO2" s="595" t="s">
        <v>87</v>
      </c>
      <c r="AP2" s="596"/>
      <c r="AQ2" s="8" t="s">
        <v>88</v>
      </c>
      <c r="AR2" s="9" t="s">
        <v>88</v>
      </c>
      <c r="AS2" s="9" t="s">
        <v>88</v>
      </c>
      <c r="AT2" s="9" t="s">
        <v>88</v>
      </c>
      <c r="AU2" s="8" t="s">
        <v>88</v>
      </c>
      <c r="AV2" s="296" t="s">
        <v>94</v>
      </c>
      <c r="AW2" s="296" t="s">
        <v>94</v>
      </c>
      <c r="AX2" s="296" t="s">
        <v>94</v>
      </c>
      <c r="AY2" s="296" t="s">
        <v>94</v>
      </c>
      <c r="AZ2" s="2" t="s">
        <v>89</v>
      </c>
      <c r="BD2" s="2" t="s">
        <v>90</v>
      </c>
      <c r="BH2" s="2" t="s">
        <v>210</v>
      </c>
      <c r="BI2" s="297" t="s">
        <v>210</v>
      </c>
      <c r="BJ2" s="297" t="s">
        <v>210</v>
      </c>
      <c r="BO2" s="2" t="s">
        <v>220</v>
      </c>
      <c r="BP2" s="2" t="s">
        <v>220</v>
      </c>
      <c r="BR2" s="2" t="s">
        <v>94</v>
      </c>
      <c r="BS2" s="2" t="s">
        <v>219</v>
      </c>
      <c r="BT2" s="2" t="s">
        <v>219</v>
      </c>
      <c r="BU2" s="2" t="s">
        <v>219</v>
      </c>
      <c r="BV2" s="2" t="s">
        <v>219</v>
      </c>
      <c r="BX2" s="342" t="s">
        <v>225</v>
      </c>
      <c r="BY2" s="342"/>
      <c r="CA2" s="2" t="s">
        <v>226</v>
      </c>
      <c r="CJ2" s="2" t="s">
        <v>0</v>
      </c>
      <c r="CK2" s="2" t="s">
        <v>1</v>
      </c>
      <c r="CL2" s="2" t="s">
        <v>2</v>
      </c>
      <c r="CM2" s="2" t="s">
        <v>3</v>
      </c>
      <c r="CN2" s="2" t="s">
        <v>129</v>
      </c>
      <c r="CO2" s="2" t="str">
        <f>IF('283'!I251="Yes","Member",IF('283'!I253="Yes","Total","None"))</f>
        <v>Member</v>
      </c>
      <c r="CP2" s="2" t="s">
        <v>218</v>
      </c>
      <c r="CV2" s="2" t="s">
        <v>239</v>
      </c>
      <c r="CW2" s="2" t="s">
        <v>256</v>
      </c>
      <c r="CX2" s="2" t="s">
        <v>257</v>
      </c>
      <c r="CY2" s="2" t="s">
        <v>258</v>
      </c>
      <c r="DI2" s="384" t="s">
        <v>245</v>
      </c>
      <c r="DJ2" s="590" t="s">
        <v>0</v>
      </c>
      <c r="DK2" s="590"/>
      <c r="DM2" s="590" t="s">
        <v>1</v>
      </c>
      <c r="DN2" s="590"/>
      <c r="DP2" s="590" t="s">
        <v>2</v>
      </c>
      <c r="DQ2" s="590"/>
      <c r="DS2" s="590" t="s">
        <v>3</v>
      </c>
      <c r="DT2" s="590"/>
      <c r="DV2" s="590" t="s">
        <v>82</v>
      </c>
      <c r="DW2" s="590"/>
    </row>
    <row r="3" spans="2:127" ht="16.5" thickTop="1" thickBot="1" x14ac:dyDescent="0.3">
      <c r="B3" s="10" t="s">
        <v>91</v>
      </c>
      <c r="C3" s="11"/>
      <c r="D3" s="12"/>
      <c r="E3" s="12"/>
      <c r="F3" s="12"/>
      <c r="G3" s="13"/>
      <c r="H3" s="14" t="s">
        <v>92</v>
      </c>
      <c r="I3" s="600" t="s">
        <v>93</v>
      </c>
      <c r="J3" s="601"/>
      <c r="K3" s="601"/>
      <c r="L3" s="601"/>
      <c r="M3" s="601"/>
      <c r="N3" s="601"/>
      <c r="O3" s="602"/>
      <c r="R3" s="15" t="s">
        <v>94</v>
      </c>
      <c r="S3" s="16" t="s">
        <v>95</v>
      </c>
      <c r="T3" s="15" t="s">
        <v>94</v>
      </c>
      <c r="U3" s="16" t="s">
        <v>95</v>
      </c>
      <c r="V3" s="15" t="s">
        <v>94</v>
      </c>
      <c r="W3" s="16" t="s">
        <v>95</v>
      </c>
      <c r="X3" s="15" t="s">
        <v>94</v>
      </c>
      <c r="Y3" s="17" t="s">
        <v>95</v>
      </c>
      <c r="Z3" s="18" t="s">
        <v>95</v>
      </c>
      <c r="AB3" s="19" t="s">
        <v>94</v>
      </c>
      <c r="AC3" s="20" t="s">
        <v>95</v>
      </c>
      <c r="AD3" s="175"/>
      <c r="AE3" s="19" t="s">
        <v>94</v>
      </c>
      <c r="AF3" s="20" t="s">
        <v>95</v>
      </c>
      <c r="AG3" s="175"/>
      <c r="AH3" s="19" t="s">
        <v>94</v>
      </c>
      <c r="AI3" s="20" t="s">
        <v>95</v>
      </c>
      <c r="AJ3" s="175"/>
      <c r="AK3" s="19" t="s">
        <v>94</v>
      </c>
      <c r="AL3" s="20" t="s">
        <v>95</v>
      </c>
      <c r="AM3" s="18"/>
      <c r="AO3" s="371" t="s">
        <v>94</v>
      </c>
      <c r="AP3" s="372" t="s">
        <v>96</v>
      </c>
      <c r="AQ3" s="8" t="s">
        <v>21</v>
      </c>
      <c r="AR3" s="9" t="s">
        <v>21</v>
      </c>
      <c r="AS3" s="9" t="s">
        <v>21</v>
      </c>
      <c r="AT3" s="9" t="s">
        <v>21</v>
      </c>
      <c r="AU3" s="18"/>
      <c r="AV3" s="296" t="s">
        <v>88</v>
      </c>
      <c r="AW3" s="296" t="s">
        <v>88</v>
      </c>
      <c r="AX3" s="296" t="s">
        <v>88</v>
      </c>
      <c r="AY3" s="296" t="s">
        <v>88</v>
      </c>
      <c r="AZ3" s="2" t="s">
        <v>97</v>
      </c>
      <c r="BD3" s="2" t="s">
        <v>98</v>
      </c>
      <c r="BH3" s="2" t="s">
        <v>213</v>
      </c>
      <c r="BI3" s="297" t="s">
        <v>211</v>
      </c>
      <c r="BJ3" s="297" t="s">
        <v>212</v>
      </c>
      <c r="BK3" s="2" t="s">
        <v>214</v>
      </c>
      <c r="BL3" s="2" t="s">
        <v>215</v>
      </c>
      <c r="BM3" s="2" t="s">
        <v>216</v>
      </c>
      <c r="BN3" s="2" t="s">
        <v>217</v>
      </c>
      <c r="BO3" s="2" t="s">
        <v>221</v>
      </c>
      <c r="BP3" s="2" t="s">
        <v>222</v>
      </c>
      <c r="BR3" s="2" t="s">
        <v>87</v>
      </c>
      <c r="BS3" s="2" t="s">
        <v>88</v>
      </c>
      <c r="BT3" s="2" t="s">
        <v>88</v>
      </c>
      <c r="BU3" s="2" t="s">
        <v>88</v>
      </c>
      <c r="BV3" s="2" t="s">
        <v>88</v>
      </c>
      <c r="BX3" s="342" t="s">
        <v>214</v>
      </c>
      <c r="BY3" s="342" t="s">
        <v>215</v>
      </c>
      <c r="CE3" s="2" t="s">
        <v>104</v>
      </c>
      <c r="CF3" s="2" t="s">
        <v>105</v>
      </c>
      <c r="CJ3" s="2" t="s">
        <v>94</v>
      </c>
      <c r="CK3" s="2" t="s">
        <v>94</v>
      </c>
      <c r="CL3" s="2" t="s">
        <v>94</v>
      </c>
      <c r="CM3" s="2" t="s">
        <v>94</v>
      </c>
      <c r="CN3" s="2" t="s">
        <v>88</v>
      </c>
      <c r="CO3" s="2" t="s">
        <v>237</v>
      </c>
      <c r="CP3" s="2" t="s">
        <v>94</v>
      </c>
      <c r="CV3" s="2" t="s">
        <v>230</v>
      </c>
      <c r="CW3" s="2" t="s">
        <v>230</v>
      </c>
      <c r="CX3" s="2" t="s">
        <v>230</v>
      </c>
      <c r="CY3" s="2" t="s">
        <v>230</v>
      </c>
      <c r="DB3" s="2" t="s">
        <v>240</v>
      </c>
      <c r="DC3" s="2" t="s">
        <v>241</v>
      </c>
      <c r="DD3" s="2" t="s">
        <v>242</v>
      </c>
      <c r="DE3" s="2" t="s">
        <v>243</v>
      </c>
      <c r="DI3" s="384" t="s">
        <v>246</v>
      </c>
      <c r="DJ3" s="2" t="s">
        <v>94</v>
      </c>
      <c r="DK3" s="2" t="s">
        <v>95</v>
      </c>
      <c r="DM3" s="2" t="s">
        <v>94</v>
      </c>
      <c r="DN3" s="2" t="s">
        <v>95</v>
      </c>
      <c r="DP3" s="2" t="s">
        <v>94</v>
      </c>
      <c r="DQ3" s="2" t="s">
        <v>95</v>
      </c>
      <c r="DS3" s="2" t="s">
        <v>94</v>
      </c>
      <c r="DT3" s="2" t="s">
        <v>95</v>
      </c>
      <c r="DV3" s="2" t="s">
        <v>94</v>
      </c>
      <c r="DW3" s="2" t="s">
        <v>95</v>
      </c>
    </row>
    <row r="4" spans="2:127" ht="16.5" thickTop="1" thickBot="1" x14ac:dyDescent="0.3">
      <c r="B4" s="21" t="s">
        <v>7</v>
      </c>
      <c r="C4" s="22" t="s">
        <v>99</v>
      </c>
      <c r="D4" s="22" t="s">
        <v>0</v>
      </c>
      <c r="E4" s="22" t="s">
        <v>1</v>
      </c>
      <c r="F4" s="22" t="s">
        <v>2</v>
      </c>
      <c r="G4" s="22" t="s">
        <v>3</v>
      </c>
      <c r="H4" s="23"/>
      <c r="I4" s="123" t="s">
        <v>7</v>
      </c>
      <c r="J4" s="122" t="s">
        <v>99</v>
      </c>
      <c r="K4" s="122" t="s">
        <v>0</v>
      </c>
      <c r="L4" s="122" t="s">
        <v>1</v>
      </c>
      <c r="M4" s="122" t="s">
        <v>2</v>
      </c>
      <c r="N4" s="122" t="s">
        <v>3</v>
      </c>
      <c r="O4" s="124" t="s">
        <v>49</v>
      </c>
      <c r="Q4" s="4">
        <f>YearStart</f>
        <v>45108</v>
      </c>
      <c r="R4" s="24">
        <f>SUMIF($C$85:$C$98,Q4,$D$85:$D$98)-SUMIF($C$5:$C$84,Q4,$D$5:$D$84)-IF(AND($Q4&gt;=$D$101,$Q4&lt;$D$104,$D$100&lt;&gt;0),$D$100/($D$104-$D$101),0)/2</f>
        <v>0</v>
      </c>
      <c r="S4" s="25">
        <f>SUMIF($J$5:$J$99,Q4,$K$5:$K$99)+IF(AND($Q4&gt;=$K$105,$Q4&lt;$K$102,$K$100&lt;&gt;0),$K$100/($K$102-$K$105),0)/2</f>
        <v>0</v>
      </c>
      <c r="T4" s="24">
        <f>SUMIF($C$85:$C$98,Q4,$E$85:$E$98)-SUMIF($C$5:$C$84,Q4,$E$5:$E$84)-IF(AND($Q4&gt;=$E$101,$Q4&lt;$E$104,$E$100&lt;&gt;0),$E$100/($E$104-$E$101),0)/2</f>
        <v>0</v>
      </c>
      <c r="U4" s="25">
        <f>SUMIF($J$5:$J$99,Q4,$L$5:$L$99)+IF(AND($Q4&gt;=$L$105,$Q4&lt;$L$102,$L$100&lt;&gt;0),$L$100/($L$102-$L$105),0)/2</f>
        <v>0</v>
      </c>
      <c r="V4" s="24">
        <f>SUMIF($C$85:$C$98,$Q4,$F$85:$F$98)-SUMIF($C$5:$C$84,$Q4,$F$5:$F$84)-IF(AND($Q4&gt;=$F$101,$Q4&lt;$F$104,$F$100&lt;&gt;0),$F$100/($F$104-$F$101),0)/2</f>
        <v>0</v>
      </c>
      <c r="W4" s="25">
        <f>SUMIF($J$5:$J$99,Q4,$M$5:$M$99)+IF(AND($Q4&gt;=$M$105,$Q4&lt;$M$102,$M$100&lt;&gt;0),$M$100/($M$102-$M$105),0)/2</f>
        <v>0</v>
      </c>
      <c r="X4" s="24">
        <f>SUMIF($C$85:$C$98,$Q4,$G$85:$G$98)-SUMIF($C$5:$C$84,$Q4,$G$5:$G$84)-IF(AND($Q4&gt;=$G$101,$Q4&lt;$G$104,$G$100&lt;&gt;0),$G$100/($G$104-$G$101),0)/2</f>
        <v>0</v>
      </c>
      <c r="Y4" s="26">
        <f>SUMIF($J$5:$J$99,Q4,$N$5:$N$99)+IF(AND($Q4&gt;=$N$105,$Q4&lt;$N$102,$N$100&lt;&gt;0),$N$100/($N$102-$N$105),0)/2</f>
        <v>0</v>
      </c>
      <c r="Z4" s="27">
        <f>SUMIF($J$5:$J$99,$Q4,$O$5:$O$99)+$N$100/DaysInYear/2</f>
        <v>0</v>
      </c>
      <c r="AA4" s="28">
        <f>Q4</f>
        <v>45108</v>
      </c>
      <c r="AB4" s="24">
        <f>R4</f>
        <v>0</v>
      </c>
      <c r="AC4" s="25">
        <f>S4</f>
        <v>0</v>
      </c>
      <c r="AD4" s="28">
        <f>AA4</f>
        <v>45108</v>
      </c>
      <c r="AE4" s="24">
        <f>T4</f>
        <v>0</v>
      </c>
      <c r="AF4" s="25">
        <f>U4</f>
        <v>0</v>
      </c>
      <c r="AG4" s="28">
        <f>AD4</f>
        <v>45108</v>
      </c>
      <c r="AH4" s="24">
        <f>V4</f>
        <v>0</v>
      </c>
      <c r="AI4" s="25">
        <f>W4</f>
        <v>0</v>
      </c>
      <c r="AJ4" s="28">
        <f>AG4</f>
        <v>45108</v>
      </c>
      <c r="AK4" s="24">
        <f>X4</f>
        <v>0</v>
      </c>
      <c r="AL4" s="25">
        <f>Y4</f>
        <v>0</v>
      </c>
      <c r="AM4" s="29">
        <f>Z4</f>
        <v>0</v>
      </c>
      <c r="AN4" s="28">
        <f>AA4</f>
        <v>45108</v>
      </c>
      <c r="AO4" s="373">
        <f t="shared" ref="AO4:AO67" si="0">IF(AND(UseSeg="Yes",AP4=0),0,SUM(AB4,AE4,AH4,AK4))</f>
        <v>0</v>
      </c>
      <c r="AP4" s="374">
        <f t="shared" ref="AP4:AP67" si="1">SUM(AC4,AF4,AI4,AL4:AM4)</f>
        <v>0</v>
      </c>
      <c r="AQ4" s="27">
        <f t="shared" ref="AQ4:AQ67" si="2">AB4+AC4</f>
        <v>0</v>
      </c>
      <c r="AR4" s="25">
        <f t="shared" ref="AR4:AR67" si="3">AE4+AF4</f>
        <v>0</v>
      </c>
      <c r="AS4" s="25">
        <f t="shared" ref="AS4:AS67" si="4">AH4+AI4</f>
        <v>0</v>
      </c>
      <c r="AT4" s="25">
        <f t="shared" ref="AT4:AT67" si="5">AK4+AL4</f>
        <v>0</v>
      </c>
      <c r="AU4" s="29">
        <f>AM4</f>
        <v>0</v>
      </c>
      <c r="AV4" s="27">
        <f>IF(VALUE(AC4)&gt;0,AB4,0)</f>
        <v>0</v>
      </c>
      <c r="AW4" s="27">
        <f>IF(VALUE(AF4)&gt;0,AE4,0)</f>
        <v>0</v>
      </c>
      <c r="AX4" s="27">
        <f>IF(VALUE(AI4)&gt;0,AH4,0)</f>
        <v>0</v>
      </c>
      <c r="AY4" s="27">
        <f>IF(VALUE(AL4)&gt;0,AK4,0)</f>
        <v>0</v>
      </c>
      <c r="AZ4" s="2" t="s">
        <v>100</v>
      </c>
      <c r="BA4" s="2" t="s">
        <v>101</v>
      </c>
      <c r="BB4" s="2" t="s">
        <v>102</v>
      </c>
      <c r="BC4" s="2" t="s">
        <v>103</v>
      </c>
      <c r="BD4" s="2" t="s">
        <v>100</v>
      </c>
      <c r="BE4" s="2" t="s">
        <v>101</v>
      </c>
      <c r="BF4" s="2" t="s">
        <v>102</v>
      </c>
      <c r="BG4" s="2" t="s">
        <v>103</v>
      </c>
      <c r="BH4" s="2">
        <f>IF(BI4="",0,1)</f>
        <v>0</v>
      </c>
      <c r="BI4" s="298" t="str">
        <f>IF(UseSeg="Yes",IF(AP4&gt;0.01,"",IF(SUM(AQ4:AT4)&gt;0,AN4,"")),"")</f>
        <v/>
      </c>
      <c r="BJ4" s="298" t="str">
        <f>IF(UseSeg="Yes",IF(AND(BH4=1,ROUND(AP5,1)&gt;0),AN4,""),"")</f>
        <v/>
      </c>
      <c r="BK4" s="330" t="str">
        <f>IF(seg_eligible="Yes",IF(MIN(BI4:BI369)=0,"",MIN(BI4:BI369)),"")</f>
        <v/>
      </c>
      <c r="BL4" s="331" t="str">
        <f>IF(seg_eligible="Yes",IF(MIN(BJ4:BJ368)=0,IF(BK4&lt;&gt;"",end_year,""),MIN(BJ4:BJ368)),"")</f>
        <v/>
      </c>
      <c r="BM4" s="332" t="str">
        <f>IF(BK4&lt;&gt;"",IF((BK4-YearStart)&gt;0,(BK4-YearStart),0),"")</f>
        <v/>
      </c>
      <c r="BN4" s="332" t="str">
        <f>IF(BL4&lt;&gt;"",IF((BL4-YearStart)&gt;0,(BL4-YearStart),0),"")</f>
        <v/>
      </c>
      <c r="BO4" s="333" t="str">
        <f>IF(BK4&lt;&gt;"",VLOOKUP(BK4,BQ4:BR369,2),"")</f>
        <v/>
      </c>
      <c r="BP4" s="334" t="str">
        <f>IF(BL4&lt;&gt;"",VLOOKUP(BL4,BQ4:BR369,2),"")</f>
        <v/>
      </c>
      <c r="BQ4" s="4">
        <f>AN4</f>
        <v>45108</v>
      </c>
      <c r="BR4" s="112">
        <f>SUM(AB4,AE4,AH4,AK4)</f>
        <v>0</v>
      </c>
      <c r="BS4" s="112">
        <f>AB4</f>
        <v>0</v>
      </c>
      <c r="BT4" s="112">
        <f>AE4</f>
        <v>0</v>
      </c>
      <c r="BU4" s="112">
        <f>AH4</f>
        <v>0</v>
      </c>
      <c r="BV4" s="112">
        <f>AK4</f>
        <v>0</v>
      </c>
      <c r="BX4" s="343">
        <f>IF(BN1="U",start_year,BL4+1)</f>
        <v>45108</v>
      </c>
      <c r="BY4" s="343">
        <f>IF(BN1="U",IF(BK4&lt;&gt;"",BK4-1,end_year),IF(BK5&lt;&gt;"",BK5-1,end_year))</f>
        <v>45473</v>
      </c>
      <c r="CA4" s="301">
        <f>IF(BK4=BK1,BK4,BX4)</f>
        <v>45108</v>
      </c>
      <c r="CB4" s="301">
        <f ca="1">IF(CC4="DSP",OFFSET($BL$3,CD4,0),OFFSET($BY$3,CD4,0))</f>
        <v>45473</v>
      </c>
      <c r="CC4" s="2" t="str">
        <f>IF(BK4=BK1,"DSP","UP")</f>
        <v>UP</v>
      </c>
      <c r="CD4" s="2">
        <v>1</v>
      </c>
      <c r="CE4" s="2" t="str">
        <f>TEXT(CA4,"DD/MM/YYYY")</f>
        <v>01/07/2023</v>
      </c>
      <c r="CF4" s="2" t="str">
        <f ca="1">TEXT(CB4,"DD/MM/YYYY")</f>
        <v>30/06/2024</v>
      </c>
      <c r="CI4" s="4">
        <f>BQ4</f>
        <v>45108</v>
      </c>
      <c r="CJ4" s="50">
        <f>IF($BH4=0,BS4,0)</f>
        <v>0</v>
      </c>
      <c r="CK4" s="50">
        <f t="shared" ref="CK4:CM4" si="6">IF($BH4=0,BT4,0)</f>
        <v>0</v>
      </c>
      <c r="CL4" s="50">
        <f t="shared" si="6"/>
        <v>0</v>
      </c>
      <c r="CM4" s="50">
        <f t="shared" si="6"/>
        <v>0</v>
      </c>
      <c r="CN4" s="50" t="str">
        <f ca="1">IFERROR(VLOOKUP(CO4,PerStBal,10,FALSE),"")</f>
        <v/>
      </c>
      <c r="CO4" s="112" t="str">
        <f ca="1">IFERROR(VLOOKUP(CI4,PerStBal,1,FALSE),"")</f>
        <v/>
      </c>
      <c r="CP4" s="377">
        <f t="shared" ref="CP4:CP67" si="7">IF(AND(UseSeg="Yes",AP4=0),0,SUM(CJ4:CM4))</f>
        <v>0</v>
      </c>
      <c r="CR4" s="382" t="str">
        <f t="shared" ref="CR4:CR12" si="8">BK4</f>
        <v/>
      </c>
      <c r="CS4" s="382" t="str">
        <f t="shared" ref="CS4:CS12" si="9">BL4</f>
        <v/>
      </c>
      <c r="CT4" s="302" t="str">
        <f t="shared" ref="CT4:CT12" si="10">IF(CR4&lt;&gt;"",CR4-$CI$4,"")</f>
        <v/>
      </c>
      <c r="CU4" s="302" t="str">
        <f t="shared" ref="CU4:CU12" si="11">IF(CS4&lt;&gt;"",CS4-$CI$4,"")</f>
        <v/>
      </c>
      <c r="CV4" s="50">
        <f ca="1">IF(CR4&lt;&gt;"",AVERAGE(OFFSET($BQ$4,$CT4,2):OFFSET($BQ$4,$CU4,2)),0)</f>
        <v>0</v>
      </c>
      <c r="CW4" s="50">
        <f ca="1">IF(CR4&lt;&gt;"",AVERAGE(OFFSET($BQ$4,$CT4,3):OFFSET($BQ$4,$CU4,3)),0)</f>
        <v>0</v>
      </c>
      <c r="CX4" s="50">
        <f ca="1">IF(CR4&lt;&gt;"",AVERAGE(OFFSET($BQ$4,$CT4,4):OFFSET($BQ$4,$CU4,4)),0)</f>
        <v>0</v>
      </c>
      <c r="CY4" s="50">
        <f ca="1">IF(CR4&lt;&gt;"",AVERAGE(OFFSET($BQ$4,$CT4,5):OFFSET($BQ$4,$CU4,5)),0)</f>
        <v>0</v>
      </c>
      <c r="CZ4" s="112">
        <f ca="1">SUM(CV4:CY4)</f>
        <v>0</v>
      </c>
      <c r="DA4" s="4" t="str">
        <f>IF(CS4&lt;&gt;"",CS4+1,"")</f>
        <v/>
      </c>
      <c r="DB4" s="383">
        <f t="shared" ref="DB4:DB12" ca="1" si="12">IF(CZ4&gt;0,CV4/$CZ4,0)</f>
        <v>0</v>
      </c>
      <c r="DC4" s="383">
        <f t="shared" ref="DC4:DC12" ca="1" si="13">IF(DB4&gt;0,CW4/$CZ4,0)</f>
        <v>0</v>
      </c>
      <c r="DD4" s="383">
        <f t="shared" ref="DD4:DD12" ca="1" si="14">IF(DC4&gt;0,CX4/$CZ4,0)</f>
        <v>0</v>
      </c>
      <c r="DE4" s="383">
        <f t="shared" ref="DE4:DE12" ca="1" si="15">IF(DD4&gt;0,CY4/$CZ4,0)</f>
        <v>0</v>
      </c>
      <c r="DI4" s="4">
        <f>CI4</f>
        <v>45108</v>
      </c>
      <c r="DJ4" s="112">
        <f>CJ4</f>
        <v>0</v>
      </c>
      <c r="DK4" s="112">
        <f>AC4</f>
        <v>0</v>
      </c>
      <c r="DL4" s="4">
        <f>DI4</f>
        <v>45108</v>
      </c>
      <c r="DM4" s="112">
        <f>CK4</f>
        <v>0</v>
      </c>
      <c r="DN4" s="112">
        <f>AF4</f>
        <v>0</v>
      </c>
      <c r="DO4" s="4">
        <f>DL4</f>
        <v>45108</v>
      </c>
      <c r="DP4" s="112">
        <f>CL4</f>
        <v>0</v>
      </c>
      <c r="DQ4" s="112">
        <f>AI4</f>
        <v>0</v>
      </c>
      <c r="DR4" s="4">
        <f>DO4</f>
        <v>45108</v>
      </c>
      <c r="DS4" s="112">
        <f>CM4</f>
        <v>0</v>
      </c>
      <c r="DT4" s="112">
        <f>AL4</f>
        <v>0</v>
      </c>
      <c r="DU4" s="4">
        <f>DR4</f>
        <v>45108</v>
      </c>
      <c r="DV4" s="112">
        <f>CP4</f>
        <v>0</v>
      </c>
      <c r="DW4" s="112">
        <f>AP4</f>
        <v>0</v>
      </c>
    </row>
    <row r="5" spans="2:127" ht="15.75" thickTop="1" x14ac:dyDescent="0.25">
      <c r="B5" s="30" t="str">
        <f>IF(LEFT('283'!B112,1)="R","Benefits Paid","")</f>
        <v/>
      </c>
      <c r="C5" s="31" t="str">
        <f>IF(B5&lt;&gt;"",IF('283'!C112&lt;&gt;"",'283'!C112,""),"")</f>
        <v/>
      </c>
      <c r="D5" s="32" t="str">
        <f>IF($B5&lt;&gt;"",IF('283'!D112&lt;&gt;"",'283'!D112,""),"")</f>
        <v/>
      </c>
      <c r="E5" s="32" t="str">
        <f>IF($B5&lt;&gt;"",IF('283'!E112&lt;&gt;"",'283'!E112,""),"")</f>
        <v/>
      </c>
      <c r="F5" s="32" t="str">
        <f>IF($B5&lt;&gt;"",IF('283'!F112&lt;&gt;"",'283'!F112,""),"")</f>
        <v/>
      </c>
      <c r="G5" s="33" t="str">
        <f>IF($B5&lt;&gt;"",IF('283'!G112&lt;&gt;"",'283'!G112,""),"")</f>
        <v/>
      </c>
      <c r="H5" s="23">
        <v>1</v>
      </c>
      <c r="I5" s="34" t="str">
        <f>IF(AND(LEFT('283'!B112,1)&lt;&gt;"R",LEFT('283'!B112,1)&lt;&gt;""),'283'!B112,"")</f>
        <v/>
      </c>
      <c r="J5" s="35" t="str">
        <f>IF(I5&lt;&gt;"",IF('283'!C112&lt;&gt;"",'283'!C112,""),"")</f>
        <v/>
      </c>
      <c r="K5" s="36" t="str">
        <f>IF($I5&lt;&gt;"",IF('283'!D112&lt;&gt;"",IF(LEFT($I5,1)="N",-'283'!D112,'283'!D112),""),"")</f>
        <v/>
      </c>
      <c r="L5" s="36" t="str">
        <f>IF($I5&lt;&gt;"",IF('283'!E112&lt;&gt;"",IF(LEFT($I5,1)="N",-'283'!E112,'283'!E112),""),"")</f>
        <v/>
      </c>
      <c r="M5" s="36" t="str">
        <f>IF($I5&lt;&gt;"",IF('283'!F112&lt;&gt;"",IF(LEFT($I5,1)="N",-'283'!F112,'283'!F112),""),"")</f>
        <v/>
      </c>
      <c r="N5" s="36" t="str">
        <f>IF($I5&lt;&gt;"",IF('283'!G112&lt;&gt;"",IF(LEFT($I5,1)="N",-'283'!G112,'283'!G112),""),"")</f>
        <v/>
      </c>
      <c r="O5" s="37"/>
      <c r="P5" s="38"/>
      <c r="Q5" s="4">
        <f t="shared" ref="Q5:Q68" si="16">Q4+1</f>
        <v>45109</v>
      </c>
      <c r="R5" s="24">
        <f t="shared" ref="R5:R68" si="17">SUMIF($C$85:$C$98,Q5,$D$85:$D$98)-SUMIF($C$5:$C$84,Q5,$D$5:$D$84)-IF(AND($Q5&gt;=$D$101,$Q5&lt;$D$104,$D$100&lt;&gt;0),$D$100/($D$104-$D$101),0)</f>
        <v>0</v>
      </c>
      <c r="S5" s="25">
        <f t="shared" ref="S5:S68" si="18">SUMIF($J$5:$J$99,Q5,$K$5:$K$99)+IF(AND($Q5&gt;=$K$105,$Q5&lt;$K$102,$K$100&lt;&gt;0),$K$100/($K$102-$K$105),0)</f>
        <v>0</v>
      </c>
      <c r="T5" s="24">
        <f t="shared" ref="T5:T68" si="19">SUMIF($C$85:$C$98,Q5,$E$85:$E$98)-SUMIF($C$5:$C$84,Q5,$E$5:$E$84)-IF(AND($Q5&gt;=$E$101,$Q5&lt;$E$104,$E$100&lt;&gt;0),$E$100/($E$104-$E$101),0)</f>
        <v>0</v>
      </c>
      <c r="U5" s="25">
        <f t="shared" ref="U5:U68" si="20">SUMIF($J$5:$J$99,Q5,$L$5:$L$99)+IF(AND($Q5&gt;=$L$105,$Q5&lt;$L$102,$L$100&lt;&gt;0),$L$100/($L$102-$L$105),0)</f>
        <v>0</v>
      </c>
      <c r="V5" s="24">
        <f t="shared" ref="V5:V68" si="21">SUMIF($C$85:$C$98,$Q5,$F$85:$F$98)-SUMIF($C$5:$C$84,$Q5,$F$5:$F$84)-IF(AND($Q5&gt;=$F$101,$Q5&lt;$F$104,$F$100&lt;&gt;0),$F$100/($F$104-$F$101),0)</f>
        <v>0</v>
      </c>
      <c r="W5" s="25">
        <f t="shared" ref="W5:W68" si="22">SUMIF($J$5:$J$99,Q5,$M$5:$M$99)+IF(AND($Q5&gt;=$M$105,$Q5&lt;$M$102,$M$100&lt;&gt;0),$M$100/($M$102-$M$105),0)</f>
        <v>0</v>
      </c>
      <c r="X5" s="24">
        <f t="shared" ref="X5:X68" si="23">SUMIF($C$85:$C$98,$Q5,$G$85:$G$98)-SUMIF($C$5:$C$84,$Q5,$G$5:$G$84)-IF(AND($Q5&gt;=$G$101,$Q5&lt;$G$104,$G$100&lt;&gt;0),$G$100/($G$104-$G$101),0)</f>
        <v>0</v>
      </c>
      <c r="Y5" s="26">
        <f t="shared" ref="Y5:Y68" si="24">SUMIF($J$5:$J$99,Q5,$N$5:$N$99)+IF(AND($Q5&gt;=$N$105,$Q5&lt;$N$102,$N$100&lt;&gt;0),$N$100/($N$102-$N$105),0)</f>
        <v>0</v>
      </c>
      <c r="Z5" s="27">
        <f t="shared" ref="Z5:Z68" si="25">SUMIF($J$5:$J$99,$Q5,$O$5:$O$99)</f>
        <v>0</v>
      </c>
      <c r="AA5" s="28">
        <f t="shared" ref="AA5:AA68" si="26">Q5</f>
        <v>45109</v>
      </c>
      <c r="AB5" s="24">
        <f t="shared" ref="AB5:AB68" si="27">AB4+R5</f>
        <v>0</v>
      </c>
      <c r="AC5" s="25">
        <f t="shared" ref="AC5:AC68" si="28">AC4+S5</f>
        <v>0</v>
      </c>
      <c r="AD5" s="28">
        <f t="shared" ref="AD5:AD68" si="29">AA5</f>
        <v>45109</v>
      </c>
      <c r="AE5" s="24">
        <f t="shared" ref="AE5:AE68" si="30">AE4+T5</f>
        <v>0</v>
      </c>
      <c r="AF5" s="25">
        <f t="shared" ref="AF5:AF68" si="31">AF4+U5</f>
        <v>0</v>
      </c>
      <c r="AG5" s="28">
        <f t="shared" ref="AG5:AG68" si="32">AD5</f>
        <v>45109</v>
      </c>
      <c r="AH5" s="24">
        <f t="shared" ref="AH5:AH68" si="33">AH4+V5</f>
        <v>0</v>
      </c>
      <c r="AI5" s="25">
        <f t="shared" ref="AI5:AI68" si="34">AI4+W5</f>
        <v>0</v>
      </c>
      <c r="AJ5" s="28">
        <f t="shared" ref="AJ5:AJ68" si="35">AG5</f>
        <v>45109</v>
      </c>
      <c r="AK5" s="24">
        <f t="shared" ref="AK5:AK68" si="36">AK4+X5</f>
        <v>0</v>
      </c>
      <c r="AL5" s="25">
        <f t="shared" ref="AL5:AL68" si="37">AL4+Y5</f>
        <v>0</v>
      </c>
      <c r="AM5" s="29">
        <f t="shared" ref="AM5:AM68" si="38">AM4+Z5</f>
        <v>0</v>
      </c>
      <c r="AN5" s="28">
        <f t="shared" ref="AN5:AN68" si="39">AA5</f>
        <v>45109</v>
      </c>
      <c r="AO5" s="373">
        <f t="shared" si="0"/>
        <v>0</v>
      </c>
      <c r="AP5" s="374">
        <f t="shared" si="1"/>
        <v>0</v>
      </c>
      <c r="AQ5" s="27">
        <f t="shared" si="2"/>
        <v>0</v>
      </c>
      <c r="AR5" s="25">
        <f t="shared" si="3"/>
        <v>0</v>
      </c>
      <c r="AS5" s="25">
        <f t="shared" si="4"/>
        <v>0</v>
      </c>
      <c r="AT5" s="25">
        <f t="shared" si="5"/>
        <v>0</v>
      </c>
      <c r="AU5" s="29">
        <f>AM5</f>
        <v>0</v>
      </c>
      <c r="AV5" s="27">
        <f t="shared" ref="AV5:AV68" si="40">IF(VALUE(AC5)&gt;0,AB5,0)</f>
        <v>0</v>
      </c>
      <c r="AW5" s="27">
        <f t="shared" ref="AW5:AW68" si="41">IF(VALUE(AF5)&gt;0,AE5,0)</f>
        <v>0</v>
      </c>
      <c r="AX5" s="27">
        <f t="shared" ref="AX5:AX68" si="42">IF(VALUE(AI5)&gt;0,AH5,0)</f>
        <v>0</v>
      </c>
      <c r="AY5" s="27">
        <f t="shared" ref="AY5:AY68" si="43">IF(VALUE(AL5)&gt;0,AK5,0)</f>
        <v>0</v>
      </c>
      <c r="AZ5" s="2" t="str">
        <f t="shared" ref="AZ5:AZ36" si="44">IF(AND($B5&lt;&gt;"",$C5=""),D5,"")</f>
        <v/>
      </c>
      <c r="BA5" s="2" t="str">
        <f t="shared" ref="BA5:BA36" si="45">IF(AND($B5&lt;&gt;"",$C5=""),E5,"")</f>
        <v/>
      </c>
      <c r="BB5" s="2" t="str">
        <f t="shared" ref="BB5:BB36" si="46">IF(AND($B5&lt;&gt;"",$C5=""),F5,"")</f>
        <v/>
      </c>
      <c r="BC5" s="2" t="str">
        <f t="shared" ref="BC5:BC36" si="47">IF(AND($B5&lt;&gt;"",$C5=""),G5,"")</f>
        <v/>
      </c>
      <c r="BD5" s="2" t="str">
        <f>IF(AND($I5&lt;&gt;"",$J5=""),K5,"")</f>
        <v/>
      </c>
      <c r="BE5" s="2" t="str">
        <f t="shared" ref="BE5:BE36" si="48">IF(AND($I5&lt;&gt;"",$J5=""),L5,"")</f>
        <v/>
      </c>
      <c r="BF5" s="2" t="str">
        <f t="shared" ref="BF5:BF36" si="49">IF(AND($I5&lt;&gt;"",$J5=""),M5,"")</f>
        <v/>
      </c>
      <c r="BG5" s="2" t="str">
        <f t="shared" ref="BG5:BG36" si="50">IF(AND($I5&lt;&gt;"",$J5=""),N5,"")</f>
        <v/>
      </c>
      <c r="BH5" s="2">
        <f t="shared" ref="BH5:BH68" si="51">IF(AND(BH4=0,BI5&lt;&gt;""),1,IF(AND(BH4=1,BJ4=""),1,0))</f>
        <v>0</v>
      </c>
      <c r="BI5" s="298" t="str">
        <f>IF(UseSeg="Yes",IF(AND(ROUND(AP4,1)&gt;0,ROUND(AP5,1)&lt;1),AN5,""),"")</f>
        <v/>
      </c>
      <c r="BJ5" s="298" t="str">
        <f t="shared" ref="BJ5:BJ67" si="52">IF(UseSeg="Yes",IF(AND(BH5=1,ROUND(AP6,1)&gt;0),AN5,""),"")</f>
        <v/>
      </c>
      <c r="BK5" s="335" t="str">
        <f ca="1">IF(BM4&lt;&gt;"",IF(MIN(OFFSET($BI$3,BM4+2,0):BI369)=0,"",MIN(OFFSET($BI$3,BM4+2,0):BI369)),"")</f>
        <v/>
      </c>
      <c r="BL5" s="301" t="str">
        <f ca="1">IF(BN4&lt;&gt;"",IF(MIN(OFFSET($BJ$3,BN4+2,0):BJ368)=0,IF(BK5&lt;&gt;"",$BL$1,""),MIN(OFFSET($BJ$3,BN4+2,0):BJ368)),"")</f>
        <v/>
      </c>
      <c r="BM5" s="302" t="str">
        <f t="shared" ref="BM5:BM27" ca="1" si="53">IF(BK5&lt;&gt;"",BK5-YearStart,"")</f>
        <v/>
      </c>
      <c r="BN5" s="302" t="str">
        <f t="shared" ref="BN5:BN27" ca="1" si="54">IF(BL5&lt;&gt;"",BL5-YearStart,"")</f>
        <v/>
      </c>
      <c r="BO5" s="336" t="str">
        <f ca="1">IF(BK5&lt;&gt;"",VLOOKUP(BK5,BQ5:BR370,2),"")</f>
        <v/>
      </c>
      <c r="BP5" s="337" t="str">
        <f ca="1">IF(BL5&lt;&gt;"",VLOOKUP(BL5,BQ5:BR370,2),"")</f>
        <v/>
      </c>
      <c r="BQ5" s="4">
        <f t="shared" ref="BQ5:BQ68" si="55">AN5</f>
        <v>45109</v>
      </c>
      <c r="BR5" s="112">
        <f t="shared" ref="BR5:BR68" si="56">SUM(AB5,AE5,AH5,AK5)</f>
        <v>0</v>
      </c>
      <c r="BS5" s="112">
        <f t="shared" ref="BS5:BS68" si="57">AB5</f>
        <v>0</v>
      </c>
      <c r="BT5" s="112">
        <f t="shared" ref="BT5:BT68" si="58">AE5</f>
        <v>0</v>
      </c>
      <c r="BU5" s="112">
        <f t="shared" ref="BU5:BU68" si="59">AH5</f>
        <v>0</v>
      </c>
      <c r="BV5" s="112">
        <f t="shared" ref="BV5:BV68" si="60">AK5</f>
        <v>0</v>
      </c>
      <c r="BX5" s="343" t="str">
        <f t="shared" ref="BX5:BX27" si="61">IF($BN$1="U",IF(BL4&lt;&gt;"",IF(BL4=end_year,"",BL4+1),""),IF(BL5&lt;&gt;"",IF(BL5=end_year,"",BL5+1),""))</f>
        <v/>
      </c>
      <c r="BY5" s="343" t="str">
        <f t="shared" ref="BY5:BY27" si="62">IF(BX5&lt;&gt;"",IF($BN$1="U",IF(BK5&lt;&gt;"",BK5-1,end_year),IF(BK6&lt;&gt;"",BK6-1,end_year)),"")</f>
        <v/>
      </c>
      <c r="CA5" s="301" t="str">
        <f ca="1">IF(CB4&lt;&gt;end_year,IF(CC5="DSP",OFFSET(dspstart,CD5,0),OFFSET(upstart,CD5,0)),"")</f>
        <v/>
      </c>
      <c r="CB5" s="301" t="str">
        <f ca="1">IF(CB4&lt;&gt;end_year,IF(CC5="DSP",OFFSET(dspend,CD5,0),OFFSET(upend,CD5,0)),"")</f>
        <v/>
      </c>
      <c r="CC5" s="2" t="str">
        <f ca="1">IF(CB4&lt;&gt;end_year,IF(CC4="UP","DSP","UP"),"")</f>
        <v/>
      </c>
      <c r="CD5" s="2">
        <v>1</v>
      </c>
      <c r="CE5" s="2" t="str">
        <f t="shared" ref="CE5:CE19" ca="1" si="63">TEXT(CA5,"DD/MM/YYYY")</f>
        <v/>
      </c>
      <c r="CF5" s="2" t="str">
        <f t="shared" ref="CF5:CF19" ca="1" si="64">TEXT(CB5,"DD/MM/YYYY")</f>
        <v/>
      </c>
      <c r="CI5" s="4">
        <f t="shared" ref="CI5:CI68" si="65">BQ5</f>
        <v>45109</v>
      </c>
      <c r="CJ5" s="50">
        <f ca="1">IF($BH5=0,IF($CO5="",CJ4+R5,IF('283'!$K$251=1,VLOOKUP($CO5,PerStBal,2)+R5,IF('283'!$K$253=1,(VLOOKUP($CO5,PerPortion,2)*VLOOKUP($CO5,PerStBal,6))+R5,GL!BS5))),0)</f>
        <v>0</v>
      </c>
      <c r="CK5" s="425">
        <f ca="1">IF($BH5=0,IF($CO5="",CK4+T5,IF('283'!$K$251=1,IF(mname2&lt;&gt;"",VLOOKUP($CO5,PerStBal,3)+T5,0),IF('283'!$K$253=1,(VLOOKUP($CO5,PerPortion,3)*VLOOKUP($CO5,PerStBal,6))+T5,GL!BT5))),0)</f>
        <v>0</v>
      </c>
      <c r="CL5" s="425">
        <f ca="1">IF($BH5=0,IF($CO5="",CL4+V5,IF('283'!$K$251=1,IF(mname3&lt;&gt;"",VLOOKUP($CO5,PerStBal,4)+V5,0),IF('283'!$K$253=1,(VLOOKUP($CO5,PerPortion,4)*VLOOKUP($CO5,PerStBal,6))+V5,GL!BU5))),0)</f>
        <v>0</v>
      </c>
      <c r="CM5" s="425">
        <f ca="1">IF($BH5=0,IF($CO5="",CM4+X5,IF('283'!$K$251=1,IF(mname4&lt;&gt;"",VLOOKUP($CO5,PerStBal,5)+X5,0),IF('283'!$K$253=1,(VLOOKUP($CO5,PerPortion,5)*VLOOKUP($CO5,PerStBal,6))+X5,GL!BV5))),0)</f>
        <v>0</v>
      </c>
      <c r="CN5" s="50">
        <f t="shared" ref="CN5:CN68" ca="1" si="66">IFERROR(VLOOKUP(CO5,PerStBal,6),0)</f>
        <v>0</v>
      </c>
      <c r="CO5" s="4" t="str">
        <f t="shared" ref="CO5:CO68" ca="1" si="67">IFERROR(VLOOKUP(CI5,PerStBal,1,FALSE),"")</f>
        <v/>
      </c>
      <c r="CP5" s="377">
        <f t="shared" si="7"/>
        <v>0</v>
      </c>
      <c r="CR5" s="382" t="str">
        <f t="shared" ca="1" si="8"/>
        <v/>
      </c>
      <c r="CS5" s="382" t="str">
        <f t="shared" ca="1" si="9"/>
        <v/>
      </c>
      <c r="CT5" s="302" t="str">
        <f t="shared" ca="1" si="10"/>
        <v/>
      </c>
      <c r="CU5" s="302" t="str">
        <f t="shared" ca="1" si="11"/>
        <v/>
      </c>
      <c r="CV5" s="50">
        <f ca="1">IF(CR5&lt;&gt;"",AVERAGE(OFFSET($BQ$4,$CT5,2):OFFSET($BQ$4,$CU5,2)),0)</f>
        <v>0</v>
      </c>
      <c r="CW5" s="50">
        <f ca="1">IF(CR5&lt;&gt;"",AVERAGE(OFFSET($BQ$4,$CT5,3):OFFSET($BQ$4,$CU5,3)),0)</f>
        <v>0</v>
      </c>
      <c r="CX5" s="50">
        <f ca="1">IF(CR5&lt;&gt;"",AVERAGE(OFFSET($BQ$4,$CT5,4):OFFSET($BQ$4,$CU5,4)),0)</f>
        <v>0</v>
      </c>
      <c r="CY5" s="50">
        <f ca="1">IF(CR5&lt;&gt;"",AVERAGE(OFFSET($BQ$4,$CT5,5):OFFSET($BQ$4,$CU5,5)),0)</f>
        <v>0</v>
      </c>
      <c r="CZ5" s="112">
        <f t="shared" ref="CZ5:CZ12" ca="1" si="68">SUM(CV5:CY5)</f>
        <v>0</v>
      </c>
      <c r="DA5" s="4" t="str">
        <f t="shared" ref="DA5:DA12" ca="1" si="69">IF(CS5&lt;&gt;"",CS5+1,"")</f>
        <v/>
      </c>
      <c r="DB5" s="383">
        <f t="shared" ca="1" si="12"/>
        <v>0</v>
      </c>
      <c r="DC5" s="383">
        <f t="shared" ca="1" si="13"/>
        <v>0</v>
      </c>
      <c r="DD5" s="383">
        <f t="shared" ca="1" si="14"/>
        <v>0</v>
      </c>
      <c r="DE5" s="383">
        <f t="shared" ca="1" si="15"/>
        <v>0</v>
      </c>
      <c r="DI5" s="4">
        <f t="shared" ref="DI5:DI68" si="70">CI5</f>
        <v>45109</v>
      </c>
      <c r="DJ5" s="112">
        <f t="shared" ref="DJ5:DJ68" ca="1" si="71">CJ5</f>
        <v>0</v>
      </c>
      <c r="DK5" s="112">
        <f t="shared" ref="DK5:DK68" si="72">AC5</f>
        <v>0</v>
      </c>
      <c r="DL5" s="4">
        <f t="shared" ref="DL5:DL68" si="73">DI5</f>
        <v>45109</v>
      </c>
      <c r="DM5" s="112">
        <f t="shared" ref="DM5:DM68" ca="1" si="74">CK5</f>
        <v>0</v>
      </c>
      <c r="DN5" s="112">
        <f t="shared" ref="DN5:DN68" si="75">AF5</f>
        <v>0</v>
      </c>
      <c r="DO5" s="4">
        <f t="shared" ref="DO5:DO68" si="76">DL5</f>
        <v>45109</v>
      </c>
      <c r="DP5" s="112">
        <f t="shared" ref="DP5:DP68" ca="1" si="77">CL5</f>
        <v>0</v>
      </c>
      <c r="DQ5" s="112">
        <f t="shared" ref="DQ5:DQ68" si="78">AI5</f>
        <v>0</v>
      </c>
      <c r="DR5" s="4">
        <f t="shared" ref="DR5:DR68" si="79">DO5</f>
        <v>45109</v>
      </c>
      <c r="DS5" s="112">
        <f t="shared" ref="DS5:DS68" ca="1" si="80">CM5</f>
        <v>0</v>
      </c>
      <c r="DT5" s="112">
        <f t="shared" ref="DT5:DT68" si="81">AL5</f>
        <v>0</v>
      </c>
      <c r="DU5" s="4">
        <f t="shared" ref="DU5:DU68" si="82">DR5</f>
        <v>45109</v>
      </c>
      <c r="DV5" s="112">
        <f t="shared" ref="DV5:DV68" si="83">CP5</f>
        <v>0</v>
      </c>
      <c r="DW5" s="112">
        <f t="shared" ref="DW5:DW68" si="84">AP5</f>
        <v>0</v>
      </c>
    </row>
    <row r="6" spans="2:127" x14ac:dyDescent="0.25">
      <c r="B6" s="39" t="str">
        <f>IF(LEFT('283'!B113,1)="R","Benefits Paid","")</f>
        <v/>
      </c>
      <c r="C6" s="3" t="str">
        <f>IF(B6&lt;&gt;"",IF('283'!C113&lt;&gt;"",'283'!C113,""),"")</f>
        <v/>
      </c>
      <c r="D6" s="40" t="str">
        <f>IF($B6&lt;&gt;"",IF('283'!D113&lt;&gt;"",'283'!D113,""),"")</f>
        <v/>
      </c>
      <c r="E6" s="40" t="str">
        <f>IF($B6&lt;&gt;"",IF('283'!E113&lt;&gt;"",'283'!E113,""),"")</f>
        <v/>
      </c>
      <c r="F6" s="40" t="str">
        <f>IF($B6&lt;&gt;"",IF('283'!F113&lt;&gt;"",'283'!F113,""),"")</f>
        <v/>
      </c>
      <c r="G6" s="41" t="str">
        <f>IF($B6&lt;&gt;"",IF('283'!G113&lt;&gt;"",'283'!G113,""),"")</f>
        <v/>
      </c>
      <c r="H6" s="23">
        <v>2</v>
      </c>
      <c r="I6" s="42" t="str">
        <f>IF(AND(LEFT('283'!B113,1)&lt;&gt;"R",LEFT('283'!B113,1)&lt;&gt;""),'283'!B113,"")</f>
        <v/>
      </c>
      <c r="J6" s="3" t="str">
        <f>IF(I6&lt;&gt;"",IF('283'!C113&lt;&gt;"",'283'!C113,""),"")</f>
        <v/>
      </c>
      <c r="K6" s="40" t="str">
        <f>IF($I6&lt;&gt;"",IF('283'!D113&lt;&gt;"",IF(LEFT($I6,1)="N",-'283'!D113,'283'!D113),""),"")</f>
        <v/>
      </c>
      <c r="L6" s="40" t="str">
        <f>IF($I6&lt;&gt;"",IF('283'!E113&lt;&gt;"",IF(LEFT($I6,1)="N",-'283'!E113,'283'!E113),""),"")</f>
        <v/>
      </c>
      <c r="M6" s="40" t="str">
        <f>IF($I6&lt;&gt;"",IF('283'!F113&lt;&gt;"",IF(LEFT($I6,1)="N",-'283'!F113,'283'!F113),""),"")</f>
        <v/>
      </c>
      <c r="N6" s="40" t="str">
        <f>IF($I6&lt;&gt;"",IF('283'!G113&lt;&gt;"",IF(LEFT($I6,1)="N",-'283'!G113,'283'!G113),""),"")</f>
        <v/>
      </c>
      <c r="O6" s="43"/>
      <c r="P6" s="38"/>
      <c r="Q6" s="4">
        <f t="shared" si="16"/>
        <v>45110</v>
      </c>
      <c r="R6" s="24">
        <f t="shared" si="17"/>
        <v>0</v>
      </c>
      <c r="S6" s="25">
        <f t="shared" si="18"/>
        <v>0</v>
      </c>
      <c r="T6" s="24">
        <f t="shared" si="19"/>
        <v>0</v>
      </c>
      <c r="U6" s="25">
        <f t="shared" si="20"/>
        <v>0</v>
      </c>
      <c r="V6" s="24">
        <f t="shared" si="21"/>
        <v>0</v>
      </c>
      <c r="W6" s="25">
        <f t="shared" si="22"/>
        <v>0</v>
      </c>
      <c r="X6" s="24">
        <f t="shared" si="23"/>
        <v>0</v>
      </c>
      <c r="Y6" s="26">
        <f t="shared" si="24"/>
        <v>0</v>
      </c>
      <c r="Z6" s="27">
        <f t="shared" si="25"/>
        <v>0</v>
      </c>
      <c r="AA6" s="28">
        <f t="shared" si="26"/>
        <v>45110</v>
      </c>
      <c r="AB6" s="24">
        <f t="shared" si="27"/>
        <v>0</v>
      </c>
      <c r="AC6" s="25">
        <f t="shared" si="28"/>
        <v>0</v>
      </c>
      <c r="AD6" s="28">
        <f t="shared" si="29"/>
        <v>45110</v>
      </c>
      <c r="AE6" s="24">
        <f t="shared" si="30"/>
        <v>0</v>
      </c>
      <c r="AF6" s="25">
        <f t="shared" si="31"/>
        <v>0</v>
      </c>
      <c r="AG6" s="28">
        <f t="shared" si="32"/>
        <v>45110</v>
      </c>
      <c r="AH6" s="24">
        <f t="shared" si="33"/>
        <v>0</v>
      </c>
      <c r="AI6" s="25">
        <f t="shared" si="34"/>
        <v>0</v>
      </c>
      <c r="AJ6" s="28">
        <f t="shared" si="35"/>
        <v>45110</v>
      </c>
      <c r="AK6" s="24">
        <f t="shared" si="36"/>
        <v>0</v>
      </c>
      <c r="AL6" s="25">
        <f t="shared" si="37"/>
        <v>0</v>
      </c>
      <c r="AM6" s="29">
        <f t="shared" si="38"/>
        <v>0</v>
      </c>
      <c r="AN6" s="28">
        <f t="shared" si="39"/>
        <v>45110</v>
      </c>
      <c r="AO6" s="373">
        <f t="shared" si="0"/>
        <v>0</v>
      </c>
      <c r="AP6" s="374">
        <f t="shared" si="1"/>
        <v>0</v>
      </c>
      <c r="AQ6" s="27">
        <f t="shared" si="2"/>
        <v>0</v>
      </c>
      <c r="AR6" s="25">
        <f t="shared" si="3"/>
        <v>0</v>
      </c>
      <c r="AS6" s="25">
        <f t="shared" si="4"/>
        <v>0</v>
      </c>
      <c r="AT6" s="25">
        <f t="shared" si="5"/>
        <v>0</v>
      </c>
      <c r="AU6" s="29">
        <f t="shared" ref="AU6:AU69" si="85">AM6</f>
        <v>0</v>
      </c>
      <c r="AV6" s="27">
        <f t="shared" si="40"/>
        <v>0</v>
      </c>
      <c r="AW6" s="27">
        <f t="shared" si="41"/>
        <v>0</v>
      </c>
      <c r="AX6" s="27">
        <f t="shared" si="42"/>
        <v>0</v>
      </c>
      <c r="AY6" s="27">
        <f t="shared" si="43"/>
        <v>0</v>
      </c>
      <c r="AZ6" s="2" t="str">
        <f t="shared" si="44"/>
        <v/>
      </c>
      <c r="BA6" s="2" t="str">
        <f t="shared" si="45"/>
        <v/>
      </c>
      <c r="BB6" s="2" t="str">
        <f t="shared" si="46"/>
        <v/>
      </c>
      <c r="BC6" s="2" t="str">
        <f t="shared" si="47"/>
        <v/>
      </c>
      <c r="BD6" s="2" t="str">
        <f t="shared" ref="BD6:BD36" si="86">IF(AND($I6&lt;&gt;"",$J6=""),K6,"")</f>
        <v/>
      </c>
      <c r="BE6" s="2" t="str">
        <f t="shared" si="48"/>
        <v/>
      </c>
      <c r="BF6" s="2" t="str">
        <f t="shared" si="49"/>
        <v/>
      </c>
      <c r="BG6" s="2" t="str">
        <f t="shared" si="50"/>
        <v/>
      </c>
      <c r="BH6" s="2">
        <f t="shared" si="51"/>
        <v>0</v>
      </c>
      <c r="BI6" s="298" t="str">
        <f t="shared" ref="BI6:BI68" si="87">IF(UseSeg="Yes",IF(AND(ROUND(AP5,1)&gt;0,ROUND(AP6,1)&lt;1),AN6,""),"")</f>
        <v/>
      </c>
      <c r="BJ6" s="298" t="str">
        <f t="shared" si="52"/>
        <v/>
      </c>
      <c r="BK6" s="335" t="str">
        <f ca="1">IF(BM5&lt;&gt;"",IF(MIN(OFFSET($BI$3,BM5+2,0):BI370)=0,"",MIN(OFFSET($BI$3,BM5+2,0):BI370)),"")</f>
        <v/>
      </c>
      <c r="BL6" s="301" t="str">
        <f ca="1">IF(BN5&lt;&gt;"",IF(MIN(OFFSET($BJ$3,BN5+2,0):BJ369)=0,IF(BK6&lt;&gt;"",$BL$1,""),MIN(OFFSET($BJ$3,BN5+2,0):BJ369)),"")</f>
        <v/>
      </c>
      <c r="BM6" s="302" t="str">
        <f t="shared" ca="1" si="53"/>
        <v/>
      </c>
      <c r="BN6" s="302" t="str">
        <f t="shared" ca="1" si="54"/>
        <v/>
      </c>
      <c r="BO6" s="336" t="str">
        <f t="shared" ref="BO6:BO27" ca="1" si="88">IF(BK6&lt;&gt;"",VLOOKUP(BK6,BQ6:BR371,2),"")</f>
        <v/>
      </c>
      <c r="BP6" s="337" t="str">
        <f ca="1">IF(BL6&lt;&gt;"",VLOOKUP(BL6,BQ6:BR371,2),"")</f>
        <v/>
      </c>
      <c r="BQ6" s="4">
        <f t="shared" si="55"/>
        <v>45110</v>
      </c>
      <c r="BR6" s="112">
        <f t="shared" si="56"/>
        <v>0</v>
      </c>
      <c r="BS6" s="112">
        <f t="shared" si="57"/>
        <v>0</v>
      </c>
      <c r="BT6" s="112">
        <f t="shared" si="58"/>
        <v>0</v>
      </c>
      <c r="BU6" s="112">
        <f t="shared" si="59"/>
        <v>0</v>
      </c>
      <c r="BV6" s="112">
        <f t="shared" si="60"/>
        <v>0</v>
      </c>
      <c r="BX6" s="343" t="str">
        <f t="shared" ca="1" si="61"/>
        <v/>
      </c>
      <c r="BY6" s="343" t="str">
        <f t="shared" ca="1" si="62"/>
        <v/>
      </c>
      <c r="CA6" s="301" t="str">
        <f ca="1">IF(CA5&lt;&gt;"",IF(CB5&lt;&gt;end_year,IF(CC6="DSP",OFFSET(dspstart,CD6,0),OFFSET(upstart,CD6,0)),""),"")</f>
        <v/>
      </c>
      <c r="CB6" s="301" t="str">
        <f t="shared" ref="CB6:CB20" ca="1" si="89">IF(CB5&lt;&gt;"",IF(CB5&lt;&gt;end_year,IF(CC6="DSP",OFFSET(dspend,CD6,0),OFFSET(upend,CD6,0)),""),"")</f>
        <v/>
      </c>
      <c r="CC6" s="2" t="str">
        <f t="shared" ref="CC6:CC20" ca="1" si="90">IF(AND(CC5&lt;&gt;"",CB5&lt;&gt;end_year),IF(CC5="UP","DSP","UP"),"")</f>
        <v/>
      </c>
      <c r="CD6" s="2">
        <v>2</v>
      </c>
      <c r="CE6" s="2" t="str">
        <f ca="1">TEXT(CA6,"DD/MM/YYYY")</f>
        <v/>
      </c>
      <c r="CF6" s="2" t="str">
        <f t="shared" ca="1" si="64"/>
        <v/>
      </c>
      <c r="CI6" s="4">
        <f t="shared" si="65"/>
        <v>45110</v>
      </c>
      <c r="CJ6" s="50">
        <f ca="1">IF($BH6=0,IF($CO6="",CJ5+R6,IF('283'!$K$251=1,VLOOKUP($CO6,PerStBal,2)+R6,IF('283'!$K$253=1,(VLOOKUP($CO6,PerPortion,2)*VLOOKUP($CO6,PerStBal,6))+R6,GL!BS6))),0)</f>
        <v>0</v>
      </c>
      <c r="CK6" s="425">
        <f ca="1">IF($BH6=0,IF($CO6="",CK5+T6,IF('283'!$K$251=1,IF(mname2&lt;&gt;"",VLOOKUP($CO6,PerStBal,3)+T6,0),IF('283'!$K$253=1,(VLOOKUP($CO6,PerPortion,3)*VLOOKUP($CO6,PerStBal,6))+T6,GL!BT6))),0)</f>
        <v>0</v>
      </c>
      <c r="CL6" s="425">
        <f ca="1">IF($BH6=0,IF($CO6="",CL5+V6,IF('283'!$K$251=1,IF(mname3&lt;&gt;"",VLOOKUP($CO6,PerStBal,4)+V6,0),IF('283'!$K$253=1,(VLOOKUP($CO6,PerPortion,4)*VLOOKUP($CO6,PerStBal,6))+V6,GL!BU6))),0)</f>
        <v>0</v>
      </c>
      <c r="CM6" s="425">
        <f ca="1">IF($BH6=0,IF($CO6="",CM5+X6,IF('283'!$K$251=1,IF(mname4&lt;&gt;"",VLOOKUP($CO6,PerStBal,5)+X6,0),IF('283'!$K$253=1,(VLOOKUP($CO6,PerPortion,5)*VLOOKUP($CO6,PerStBal,6))+X6,GL!BV6))),0)</f>
        <v>0</v>
      </c>
      <c r="CN6" s="50">
        <f t="shared" ca="1" si="66"/>
        <v>0</v>
      </c>
      <c r="CO6" s="4" t="str">
        <f t="shared" ca="1" si="67"/>
        <v/>
      </c>
      <c r="CP6" s="377">
        <f t="shared" si="7"/>
        <v>0</v>
      </c>
      <c r="CR6" s="382" t="str">
        <f t="shared" ca="1" si="8"/>
        <v/>
      </c>
      <c r="CS6" s="382" t="str">
        <f t="shared" ca="1" si="9"/>
        <v/>
      </c>
      <c r="CT6" s="302" t="str">
        <f t="shared" ca="1" si="10"/>
        <v/>
      </c>
      <c r="CU6" s="302" t="str">
        <f t="shared" ca="1" si="11"/>
        <v/>
      </c>
      <c r="CV6" s="50">
        <f ca="1">IF(CR6&lt;&gt;"",AVERAGE(OFFSET($BQ$4,$CT6,2):OFFSET($BQ$4,$CU6,2)),0)</f>
        <v>0</v>
      </c>
      <c r="CW6" s="50">
        <f ca="1">IF(CR6&lt;&gt;"",AVERAGE(OFFSET($BQ$4,$CT6,3):OFFSET($BQ$4,$CU6,3)),0)</f>
        <v>0</v>
      </c>
      <c r="CX6" s="50">
        <f ca="1">IF(CR6&lt;&gt;"",AVERAGE(OFFSET($BQ$4,$CT6,4):OFFSET($BQ$4,$CU6,4)),0)</f>
        <v>0</v>
      </c>
      <c r="CY6" s="50">
        <f ca="1">IF(CR6&lt;&gt;"",AVERAGE(OFFSET($BQ$4,$CT6,5):OFFSET($BQ$4,$CU6,5)),0)</f>
        <v>0</v>
      </c>
      <c r="CZ6" s="112">
        <f t="shared" ca="1" si="68"/>
        <v>0</v>
      </c>
      <c r="DA6" s="4" t="str">
        <f t="shared" ca="1" si="69"/>
        <v/>
      </c>
      <c r="DB6" s="383">
        <f t="shared" ca="1" si="12"/>
        <v>0</v>
      </c>
      <c r="DC6" s="383">
        <f t="shared" ca="1" si="13"/>
        <v>0</v>
      </c>
      <c r="DD6" s="383">
        <f t="shared" ca="1" si="14"/>
        <v>0</v>
      </c>
      <c r="DE6" s="383">
        <f t="shared" ca="1" si="15"/>
        <v>0</v>
      </c>
      <c r="DI6" s="4">
        <f t="shared" si="70"/>
        <v>45110</v>
      </c>
      <c r="DJ6" s="112">
        <f t="shared" ca="1" si="71"/>
        <v>0</v>
      </c>
      <c r="DK6" s="112">
        <f t="shared" si="72"/>
        <v>0</v>
      </c>
      <c r="DL6" s="4">
        <f t="shared" si="73"/>
        <v>45110</v>
      </c>
      <c r="DM6" s="112">
        <f t="shared" ca="1" si="74"/>
        <v>0</v>
      </c>
      <c r="DN6" s="112">
        <f t="shared" si="75"/>
        <v>0</v>
      </c>
      <c r="DO6" s="4">
        <f t="shared" si="76"/>
        <v>45110</v>
      </c>
      <c r="DP6" s="112">
        <f t="shared" ca="1" si="77"/>
        <v>0</v>
      </c>
      <c r="DQ6" s="112">
        <f t="shared" si="78"/>
        <v>0</v>
      </c>
      <c r="DR6" s="4">
        <f t="shared" si="79"/>
        <v>45110</v>
      </c>
      <c r="DS6" s="112">
        <f t="shared" ca="1" si="80"/>
        <v>0</v>
      </c>
      <c r="DT6" s="112">
        <f t="shared" si="81"/>
        <v>0</v>
      </c>
      <c r="DU6" s="4">
        <f t="shared" si="82"/>
        <v>45110</v>
      </c>
      <c r="DV6" s="112">
        <f t="shared" si="83"/>
        <v>0</v>
      </c>
      <c r="DW6" s="112">
        <f t="shared" si="84"/>
        <v>0</v>
      </c>
    </row>
    <row r="7" spans="2:127" x14ac:dyDescent="0.25">
      <c r="B7" s="39" t="str">
        <f>IF(LEFT('283'!B114,1)="R","Benefits Paid","")</f>
        <v/>
      </c>
      <c r="C7" s="3" t="str">
        <f>IF(B7&lt;&gt;"",IF('283'!C114&lt;&gt;"",'283'!C114,""),"")</f>
        <v/>
      </c>
      <c r="D7" s="40" t="str">
        <f>IF($B7&lt;&gt;"",IF('283'!D114&lt;&gt;"",'283'!D114,""),"")</f>
        <v/>
      </c>
      <c r="E7" s="40" t="str">
        <f>IF($B7&lt;&gt;"",IF('283'!E114&lt;&gt;"",'283'!E114,""),"")</f>
        <v/>
      </c>
      <c r="F7" s="40" t="str">
        <f>IF($B7&lt;&gt;"",IF('283'!F114&lt;&gt;"",'283'!F114,""),"")</f>
        <v/>
      </c>
      <c r="G7" s="41" t="str">
        <f>IF($B7&lt;&gt;"",IF('283'!G114&lt;&gt;"",'283'!G114,""),"")</f>
        <v/>
      </c>
      <c r="H7" s="23">
        <v>3</v>
      </c>
      <c r="I7" s="42" t="str">
        <f>IF(AND(LEFT('283'!B114,1)&lt;&gt;"R",LEFT('283'!B114,1)&lt;&gt;""),'283'!B114,"")</f>
        <v/>
      </c>
      <c r="J7" s="3" t="str">
        <f>IF(I7&lt;&gt;"",IF('283'!C114&lt;&gt;"",'283'!C114,""),"")</f>
        <v/>
      </c>
      <c r="K7" s="40" t="str">
        <f>IF($I7&lt;&gt;"",IF('283'!D114&lt;&gt;"",IF(LEFT($I7,1)="N",-'283'!D114,'283'!D114),""),"")</f>
        <v/>
      </c>
      <c r="L7" s="40" t="str">
        <f>IF($I7&lt;&gt;"",IF('283'!E114&lt;&gt;"",IF(LEFT($I7,1)="N",-'283'!E114,'283'!E114),""),"")</f>
        <v/>
      </c>
      <c r="M7" s="40" t="str">
        <f>IF($I7&lt;&gt;"",IF('283'!F114&lt;&gt;"",IF(LEFT($I7,1)="N",-'283'!F114,'283'!F114),""),"")</f>
        <v/>
      </c>
      <c r="N7" s="40" t="str">
        <f>IF($I7&lt;&gt;"",IF('283'!G114&lt;&gt;"",IF(LEFT($I7,1)="N",-'283'!G114,'283'!G114),""),"")</f>
        <v/>
      </c>
      <c r="O7" s="43"/>
      <c r="P7" s="38"/>
      <c r="Q7" s="4">
        <f t="shared" si="16"/>
        <v>45111</v>
      </c>
      <c r="R7" s="24">
        <f t="shared" si="17"/>
        <v>0</v>
      </c>
      <c r="S7" s="25">
        <f t="shared" si="18"/>
        <v>0</v>
      </c>
      <c r="T7" s="24">
        <f t="shared" si="19"/>
        <v>0</v>
      </c>
      <c r="U7" s="25">
        <f t="shared" si="20"/>
        <v>0</v>
      </c>
      <c r="V7" s="24">
        <f t="shared" si="21"/>
        <v>0</v>
      </c>
      <c r="W7" s="25">
        <f t="shared" si="22"/>
        <v>0</v>
      </c>
      <c r="X7" s="24">
        <f t="shared" si="23"/>
        <v>0</v>
      </c>
      <c r="Y7" s="26">
        <f t="shared" si="24"/>
        <v>0</v>
      </c>
      <c r="Z7" s="27">
        <f t="shared" si="25"/>
        <v>0</v>
      </c>
      <c r="AA7" s="28">
        <f t="shared" si="26"/>
        <v>45111</v>
      </c>
      <c r="AB7" s="24">
        <f t="shared" si="27"/>
        <v>0</v>
      </c>
      <c r="AC7" s="25">
        <f t="shared" si="28"/>
        <v>0</v>
      </c>
      <c r="AD7" s="28">
        <f t="shared" si="29"/>
        <v>45111</v>
      </c>
      <c r="AE7" s="24">
        <f t="shared" si="30"/>
        <v>0</v>
      </c>
      <c r="AF7" s="25">
        <f t="shared" si="31"/>
        <v>0</v>
      </c>
      <c r="AG7" s="28">
        <f t="shared" si="32"/>
        <v>45111</v>
      </c>
      <c r="AH7" s="24">
        <f t="shared" si="33"/>
        <v>0</v>
      </c>
      <c r="AI7" s="25">
        <f t="shared" si="34"/>
        <v>0</v>
      </c>
      <c r="AJ7" s="28">
        <f t="shared" si="35"/>
        <v>45111</v>
      </c>
      <c r="AK7" s="24">
        <f t="shared" si="36"/>
        <v>0</v>
      </c>
      <c r="AL7" s="25">
        <f t="shared" si="37"/>
        <v>0</v>
      </c>
      <c r="AM7" s="29">
        <f t="shared" si="38"/>
        <v>0</v>
      </c>
      <c r="AN7" s="28">
        <f t="shared" si="39"/>
        <v>45111</v>
      </c>
      <c r="AO7" s="373">
        <f t="shared" si="0"/>
        <v>0</v>
      </c>
      <c r="AP7" s="374">
        <f t="shared" si="1"/>
        <v>0</v>
      </c>
      <c r="AQ7" s="27">
        <f t="shared" si="2"/>
        <v>0</v>
      </c>
      <c r="AR7" s="25">
        <f t="shared" si="3"/>
        <v>0</v>
      </c>
      <c r="AS7" s="25">
        <f t="shared" si="4"/>
        <v>0</v>
      </c>
      <c r="AT7" s="25">
        <f t="shared" si="5"/>
        <v>0</v>
      </c>
      <c r="AU7" s="29">
        <f t="shared" si="85"/>
        <v>0</v>
      </c>
      <c r="AV7" s="27">
        <f t="shared" si="40"/>
        <v>0</v>
      </c>
      <c r="AW7" s="27">
        <f t="shared" si="41"/>
        <v>0</v>
      </c>
      <c r="AX7" s="27">
        <f t="shared" si="42"/>
        <v>0</v>
      </c>
      <c r="AY7" s="27">
        <f t="shared" si="43"/>
        <v>0</v>
      </c>
      <c r="AZ7" s="2" t="str">
        <f t="shared" si="44"/>
        <v/>
      </c>
      <c r="BA7" s="2" t="str">
        <f t="shared" si="45"/>
        <v/>
      </c>
      <c r="BB7" s="2" t="str">
        <f t="shared" si="46"/>
        <v/>
      </c>
      <c r="BC7" s="2" t="str">
        <f t="shared" si="47"/>
        <v/>
      </c>
      <c r="BD7" s="2" t="str">
        <f t="shared" si="86"/>
        <v/>
      </c>
      <c r="BE7" s="2" t="str">
        <f t="shared" si="48"/>
        <v/>
      </c>
      <c r="BF7" s="2" t="str">
        <f t="shared" si="49"/>
        <v/>
      </c>
      <c r="BG7" s="2" t="str">
        <f t="shared" si="50"/>
        <v/>
      </c>
      <c r="BH7" s="2">
        <f t="shared" si="51"/>
        <v>0</v>
      </c>
      <c r="BI7" s="298" t="str">
        <f t="shared" si="87"/>
        <v/>
      </c>
      <c r="BJ7" s="298" t="str">
        <f t="shared" si="52"/>
        <v/>
      </c>
      <c r="BK7" s="335" t="str">
        <f ca="1">IF(BM6&lt;&gt;"",IF(MIN(OFFSET($BI$3,BM6+2,0):BI371)=0,"",MIN(OFFSET($BI$3,BM6+2,0):BI371)),"")</f>
        <v/>
      </c>
      <c r="BL7" s="301" t="str">
        <f ca="1">IF(BN6&lt;&gt;"",IF(MIN(OFFSET($BJ$3,BN6+2,0):BJ370)=0,IF(BK7&lt;&gt;"",$BL$1,""),MIN(OFFSET($BJ$3,BN6+2,0):BJ370)),"")</f>
        <v/>
      </c>
      <c r="BM7" s="302" t="str">
        <f t="shared" ca="1" si="53"/>
        <v/>
      </c>
      <c r="BN7" s="302" t="str">
        <f ca="1">IF(BL7&lt;&gt;"",BL7-YearStart,"")</f>
        <v/>
      </c>
      <c r="BO7" s="336" t="str">
        <f t="shared" ca="1" si="88"/>
        <v/>
      </c>
      <c r="BP7" s="337" t="str">
        <f t="shared" ref="BP7:BP27" ca="1" si="91">IF(BL7&lt;&gt;"",VLOOKUP(BL7,BQ7:BR372,2),"")</f>
        <v/>
      </c>
      <c r="BQ7" s="4">
        <f t="shared" si="55"/>
        <v>45111</v>
      </c>
      <c r="BR7" s="112">
        <f t="shared" si="56"/>
        <v>0</v>
      </c>
      <c r="BS7" s="112">
        <f t="shared" si="57"/>
        <v>0</v>
      </c>
      <c r="BT7" s="112">
        <f t="shared" si="58"/>
        <v>0</v>
      </c>
      <c r="BU7" s="112">
        <f t="shared" si="59"/>
        <v>0</v>
      </c>
      <c r="BV7" s="112">
        <f t="shared" si="60"/>
        <v>0</v>
      </c>
      <c r="BX7" s="343" t="str">
        <f t="shared" ca="1" si="61"/>
        <v/>
      </c>
      <c r="BY7" s="343" t="str">
        <f t="shared" ca="1" si="62"/>
        <v/>
      </c>
      <c r="CA7" s="301" t="str">
        <f ca="1">IF(CA6&lt;&gt;"",IF(CB6&lt;&gt;end_year,IF(CC7="DSP",OFFSET(dspstart,CD7,0),OFFSET(upstart,CD7,0)),""),"")</f>
        <v/>
      </c>
      <c r="CB7" s="301" t="str">
        <f t="shared" ca="1" si="89"/>
        <v/>
      </c>
      <c r="CC7" s="2" t="str">
        <f t="shared" ca="1" si="90"/>
        <v/>
      </c>
      <c r="CD7" s="2">
        <v>2</v>
      </c>
      <c r="CE7" s="2" t="str">
        <f t="shared" ca="1" si="63"/>
        <v/>
      </c>
      <c r="CF7" s="2" t="str">
        <f t="shared" ca="1" si="64"/>
        <v/>
      </c>
      <c r="CI7" s="4">
        <f t="shared" si="65"/>
        <v>45111</v>
      </c>
      <c r="CJ7" s="50">
        <f ca="1">IF($BH7=0,IF($CO7="",CJ6+R7,IF('283'!$K$251=1,VLOOKUP($CO7,PerStBal,2)+R7,IF('283'!$K$253=1,(VLOOKUP($CO7,PerPortion,2)*VLOOKUP($CO7,PerStBal,6))+R7,GL!BS7))),0)</f>
        <v>0</v>
      </c>
      <c r="CK7" s="425">
        <f ca="1">IF($BH7=0,IF($CO7="",CK6+T7,IF('283'!$K$251=1,IF(mname2&lt;&gt;"",VLOOKUP($CO7,PerStBal,3)+T7,0),IF('283'!$K$253=1,(VLOOKUP($CO7,PerPortion,3)*VLOOKUP($CO7,PerStBal,6))+T7,GL!BT7))),0)</f>
        <v>0</v>
      </c>
      <c r="CL7" s="425">
        <f ca="1">IF($BH7=0,IF($CO7="",CL6+V7,IF('283'!$K$251=1,IF(mname3&lt;&gt;"",VLOOKUP($CO7,PerStBal,4)+V7,0),IF('283'!$K$253=1,(VLOOKUP($CO7,PerPortion,4)*VLOOKUP($CO7,PerStBal,6))+V7,GL!BU7))),0)</f>
        <v>0</v>
      </c>
      <c r="CM7" s="425">
        <f ca="1">IF($BH7=0,IF($CO7="",CM6+X7,IF('283'!$K$251=1,IF(mname4&lt;&gt;"",VLOOKUP($CO7,PerStBal,5)+X7,0),IF('283'!$K$253=1,(VLOOKUP($CO7,PerPortion,5)*VLOOKUP($CO7,PerStBal,6))+X7,GL!BV7))),0)</f>
        <v>0</v>
      </c>
      <c r="CN7" s="50">
        <f t="shared" ca="1" si="66"/>
        <v>0</v>
      </c>
      <c r="CO7" s="4" t="str">
        <f t="shared" ca="1" si="67"/>
        <v/>
      </c>
      <c r="CP7" s="377">
        <f t="shared" si="7"/>
        <v>0</v>
      </c>
      <c r="CR7" s="382" t="str">
        <f t="shared" ca="1" si="8"/>
        <v/>
      </c>
      <c r="CS7" s="382" t="str">
        <f t="shared" ca="1" si="9"/>
        <v/>
      </c>
      <c r="CT7" s="302" t="str">
        <f t="shared" ca="1" si="10"/>
        <v/>
      </c>
      <c r="CU7" s="302" t="str">
        <f t="shared" ca="1" si="11"/>
        <v/>
      </c>
      <c r="CV7" s="50">
        <f ca="1">IF(CR7&lt;&gt;"",AVERAGE(OFFSET($BQ$4,$CT7,2):OFFSET($BQ$4,$CU7,2)),0)</f>
        <v>0</v>
      </c>
      <c r="CW7" s="50">
        <f ca="1">IF(CR7&lt;&gt;"",AVERAGE(OFFSET($BQ$4,$CT7,3):OFFSET($BQ$4,$CU7,3)),0)</f>
        <v>0</v>
      </c>
      <c r="CX7" s="50">
        <f ca="1">IF(CR7&lt;&gt;"",AVERAGE(OFFSET($BQ$4,$CT7,4):OFFSET($BQ$4,$CU7,4)),0)</f>
        <v>0</v>
      </c>
      <c r="CY7" s="50">
        <f ca="1">IF(CR7&lt;&gt;"",AVERAGE(OFFSET($BQ$4,$CT7,5):OFFSET($BQ$4,$CU7,5)),0)</f>
        <v>0</v>
      </c>
      <c r="CZ7" s="112">
        <f t="shared" ca="1" si="68"/>
        <v>0</v>
      </c>
      <c r="DA7" s="4" t="str">
        <f t="shared" ca="1" si="69"/>
        <v/>
      </c>
      <c r="DB7" s="383">
        <f t="shared" ca="1" si="12"/>
        <v>0</v>
      </c>
      <c r="DC7" s="383">
        <f t="shared" ca="1" si="13"/>
        <v>0</v>
      </c>
      <c r="DD7" s="383">
        <f t="shared" ca="1" si="14"/>
        <v>0</v>
      </c>
      <c r="DE7" s="383">
        <f t="shared" ca="1" si="15"/>
        <v>0</v>
      </c>
      <c r="DI7" s="4">
        <f t="shared" si="70"/>
        <v>45111</v>
      </c>
      <c r="DJ7" s="112">
        <f t="shared" ca="1" si="71"/>
        <v>0</v>
      </c>
      <c r="DK7" s="112">
        <f t="shared" si="72"/>
        <v>0</v>
      </c>
      <c r="DL7" s="4">
        <f t="shared" si="73"/>
        <v>45111</v>
      </c>
      <c r="DM7" s="112">
        <f t="shared" ca="1" si="74"/>
        <v>0</v>
      </c>
      <c r="DN7" s="112">
        <f t="shared" si="75"/>
        <v>0</v>
      </c>
      <c r="DO7" s="4">
        <f t="shared" si="76"/>
        <v>45111</v>
      </c>
      <c r="DP7" s="112">
        <f t="shared" ca="1" si="77"/>
        <v>0</v>
      </c>
      <c r="DQ7" s="112">
        <f t="shared" si="78"/>
        <v>0</v>
      </c>
      <c r="DR7" s="4">
        <f t="shared" si="79"/>
        <v>45111</v>
      </c>
      <c r="DS7" s="112">
        <f t="shared" ca="1" si="80"/>
        <v>0</v>
      </c>
      <c r="DT7" s="112">
        <f t="shared" si="81"/>
        <v>0</v>
      </c>
      <c r="DU7" s="4">
        <f t="shared" si="82"/>
        <v>45111</v>
      </c>
      <c r="DV7" s="112">
        <f t="shared" si="83"/>
        <v>0</v>
      </c>
      <c r="DW7" s="112">
        <f t="shared" si="84"/>
        <v>0</v>
      </c>
    </row>
    <row r="8" spans="2:127" x14ac:dyDescent="0.25">
      <c r="B8" s="39" t="str">
        <f>IF(LEFT('283'!B115,1)="R","Benefits Paid","")</f>
        <v/>
      </c>
      <c r="C8" s="3" t="str">
        <f>IF(B8&lt;&gt;"",IF('283'!C115&lt;&gt;"",'283'!C115,""),"")</f>
        <v/>
      </c>
      <c r="D8" s="40" t="str">
        <f>IF($B8&lt;&gt;"",IF('283'!D115&lt;&gt;"",'283'!D115,""),"")</f>
        <v/>
      </c>
      <c r="E8" s="40" t="str">
        <f>IF($B8&lt;&gt;"",IF('283'!E115&lt;&gt;"",'283'!E115,""),"")</f>
        <v/>
      </c>
      <c r="F8" s="40" t="str">
        <f>IF($B8&lt;&gt;"",IF('283'!F115&lt;&gt;"",'283'!F115,""),"")</f>
        <v/>
      </c>
      <c r="G8" s="41" t="str">
        <f>IF($B8&lt;&gt;"",IF('283'!G115&lt;&gt;"",'283'!G115,""),"")</f>
        <v/>
      </c>
      <c r="H8" s="23">
        <v>4</v>
      </c>
      <c r="I8" s="42" t="str">
        <f>IF(AND(LEFT('283'!B115,1)&lt;&gt;"R",LEFT('283'!B115,1)&lt;&gt;""),'283'!B115,"")</f>
        <v/>
      </c>
      <c r="J8" s="3" t="str">
        <f>IF(I8&lt;&gt;"",IF('283'!C115&lt;&gt;"",'283'!C115,""),"")</f>
        <v/>
      </c>
      <c r="K8" s="40" t="str">
        <f>IF($I8&lt;&gt;"",IF('283'!D115&lt;&gt;"",IF(LEFT($I8,1)="N",-'283'!D115,'283'!D115),""),"")</f>
        <v/>
      </c>
      <c r="L8" s="40" t="str">
        <f>IF($I8&lt;&gt;"",IF('283'!E115&lt;&gt;"",IF(LEFT($I8,1)="N",-'283'!E115,'283'!E115),""),"")</f>
        <v/>
      </c>
      <c r="M8" s="40" t="str">
        <f>IF($I8&lt;&gt;"",IF('283'!F115&lt;&gt;"",IF(LEFT($I8,1)="N",-'283'!F115,'283'!F115),""),"")</f>
        <v/>
      </c>
      <c r="N8" s="40" t="str">
        <f>IF($I8&lt;&gt;"",IF('283'!G115&lt;&gt;"",IF(LEFT($I8,1)="N",-'283'!G115,'283'!G115),""),"")</f>
        <v/>
      </c>
      <c r="O8" s="43"/>
      <c r="P8" s="38"/>
      <c r="Q8" s="4">
        <f t="shared" si="16"/>
        <v>45112</v>
      </c>
      <c r="R8" s="24">
        <f t="shared" si="17"/>
        <v>0</v>
      </c>
      <c r="S8" s="25">
        <f t="shared" si="18"/>
        <v>0</v>
      </c>
      <c r="T8" s="24">
        <f t="shared" si="19"/>
        <v>0</v>
      </c>
      <c r="U8" s="25">
        <f t="shared" si="20"/>
        <v>0</v>
      </c>
      <c r="V8" s="24">
        <f t="shared" si="21"/>
        <v>0</v>
      </c>
      <c r="W8" s="25">
        <f t="shared" si="22"/>
        <v>0</v>
      </c>
      <c r="X8" s="24">
        <f t="shared" si="23"/>
        <v>0</v>
      </c>
      <c r="Y8" s="26">
        <f t="shared" si="24"/>
        <v>0</v>
      </c>
      <c r="Z8" s="27">
        <f t="shared" si="25"/>
        <v>0</v>
      </c>
      <c r="AA8" s="28">
        <f t="shared" si="26"/>
        <v>45112</v>
      </c>
      <c r="AB8" s="24">
        <f t="shared" si="27"/>
        <v>0</v>
      </c>
      <c r="AC8" s="25">
        <f t="shared" si="28"/>
        <v>0</v>
      </c>
      <c r="AD8" s="28">
        <f t="shared" si="29"/>
        <v>45112</v>
      </c>
      <c r="AE8" s="24">
        <f t="shared" si="30"/>
        <v>0</v>
      </c>
      <c r="AF8" s="25">
        <f t="shared" si="31"/>
        <v>0</v>
      </c>
      <c r="AG8" s="28">
        <f t="shared" si="32"/>
        <v>45112</v>
      </c>
      <c r="AH8" s="24">
        <f t="shared" si="33"/>
        <v>0</v>
      </c>
      <c r="AI8" s="25">
        <f t="shared" si="34"/>
        <v>0</v>
      </c>
      <c r="AJ8" s="28">
        <f t="shared" si="35"/>
        <v>45112</v>
      </c>
      <c r="AK8" s="24">
        <f t="shared" si="36"/>
        <v>0</v>
      </c>
      <c r="AL8" s="25">
        <f t="shared" si="37"/>
        <v>0</v>
      </c>
      <c r="AM8" s="29">
        <f t="shared" si="38"/>
        <v>0</v>
      </c>
      <c r="AN8" s="28">
        <f t="shared" si="39"/>
        <v>45112</v>
      </c>
      <c r="AO8" s="373">
        <f t="shared" si="0"/>
        <v>0</v>
      </c>
      <c r="AP8" s="374">
        <f t="shared" si="1"/>
        <v>0</v>
      </c>
      <c r="AQ8" s="27">
        <f t="shared" si="2"/>
        <v>0</v>
      </c>
      <c r="AR8" s="25">
        <f t="shared" si="3"/>
        <v>0</v>
      </c>
      <c r="AS8" s="25">
        <f t="shared" si="4"/>
        <v>0</v>
      </c>
      <c r="AT8" s="25">
        <f t="shared" si="5"/>
        <v>0</v>
      </c>
      <c r="AU8" s="29">
        <f t="shared" si="85"/>
        <v>0</v>
      </c>
      <c r="AV8" s="27">
        <f t="shared" si="40"/>
        <v>0</v>
      </c>
      <c r="AW8" s="27">
        <f t="shared" si="41"/>
        <v>0</v>
      </c>
      <c r="AX8" s="27">
        <f t="shared" si="42"/>
        <v>0</v>
      </c>
      <c r="AY8" s="27">
        <f t="shared" si="43"/>
        <v>0</v>
      </c>
      <c r="AZ8" s="2" t="str">
        <f t="shared" si="44"/>
        <v/>
      </c>
      <c r="BA8" s="2" t="str">
        <f t="shared" si="45"/>
        <v/>
      </c>
      <c r="BB8" s="2" t="str">
        <f t="shared" si="46"/>
        <v/>
      </c>
      <c r="BC8" s="2" t="str">
        <f t="shared" si="47"/>
        <v/>
      </c>
      <c r="BD8" s="2" t="str">
        <f t="shared" si="86"/>
        <v/>
      </c>
      <c r="BE8" s="2" t="str">
        <f t="shared" si="48"/>
        <v/>
      </c>
      <c r="BF8" s="2" t="str">
        <f t="shared" si="49"/>
        <v/>
      </c>
      <c r="BG8" s="2" t="str">
        <f t="shared" si="50"/>
        <v/>
      </c>
      <c r="BH8" s="2">
        <f t="shared" si="51"/>
        <v>0</v>
      </c>
      <c r="BI8" s="298" t="str">
        <f t="shared" si="87"/>
        <v/>
      </c>
      <c r="BJ8" s="298" t="str">
        <f t="shared" si="52"/>
        <v/>
      </c>
      <c r="BK8" s="335" t="str">
        <f ca="1">IF(BM7&lt;&gt;"",IF(MIN(OFFSET($BI$3,BM7+2,0):BI372)=0,"",MIN(OFFSET($BI$3,BM7+2,0):BI372)),"")</f>
        <v/>
      </c>
      <c r="BL8" s="301" t="str">
        <f ca="1">IF(BN7&lt;&gt;"",IF(MIN(OFFSET($BJ$3,BN7+2,0):BJ371)=0,IF(BK8&lt;&gt;"",$BL$1,""),MIN(OFFSET($BJ$3,BN7+2,0):BJ371)),"")</f>
        <v/>
      </c>
      <c r="BM8" s="302" t="str">
        <f t="shared" ca="1" si="53"/>
        <v/>
      </c>
      <c r="BN8" s="302" t="str">
        <f t="shared" ca="1" si="54"/>
        <v/>
      </c>
      <c r="BO8" s="336" t="str">
        <f t="shared" ca="1" si="88"/>
        <v/>
      </c>
      <c r="BP8" s="337" t="str">
        <f t="shared" ca="1" si="91"/>
        <v/>
      </c>
      <c r="BQ8" s="4">
        <f t="shared" si="55"/>
        <v>45112</v>
      </c>
      <c r="BR8" s="112">
        <f t="shared" si="56"/>
        <v>0</v>
      </c>
      <c r="BS8" s="112">
        <f t="shared" si="57"/>
        <v>0</v>
      </c>
      <c r="BT8" s="112">
        <f t="shared" si="58"/>
        <v>0</v>
      </c>
      <c r="BU8" s="112">
        <f t="shared" si="59"/>
        <v>0</v>
      </c>
      <c r="BV8" s="112">
        <f t="shared" si="60"/>
        <v>0</v>
      </c>
      <c r="BX8" s="343" t="str">
        <f t="shared" ca="1" si="61"/>
        <v/>
      </c>
      <c r="BY8" s="343" t="str">
        <f t="shared" ca="1" si="62"/>
        <v/>
      </c>
      <c r="CA8" s="301" t="str">
        <f t="shared" ref="CA8:CA20" ca="1" si="92">IF(CA7&lt;&gt;"",IF(CB7&lt;&gt;end_year,IF(CC8="DSP",OFFSET(dspstart,CD8,0),OFFSET(upstart,CD8,0)),""),"")</f>
        <v/>
      </c>
      <c r="CB8" s="301" t="str">
        <f t="shared" ca="1" si="89"/>
        <v/>
      </c>
      <c r="CC8" s="2" t="str">
        <f t="shared" ca="1" si="90"/>
        <v/>
      </c>
      <c r="CD8" s="2">
        <v>3</v>
      </c>
      <c r="CE8" s="2" t="str">
        <f t="shared" ca="1" si="63"/>
        <v/>
      </c>
      <c r="CF8" s="2" t="str">
        <f t="shared" ca="1" si="64"/>
        <v/>
      </c>
      <c r="CI8" s="4">
        <f t="shared" si="65"/>
        <v>45112</v>
      </c>
      <c r="CJ8" s="50">
        <f ca="1">IF($BH8=0,IF($CO8="",CJ7+R8,IF('283'!$K$251=1,VLOOKUP($CO8,PerStBal,2)+R8,IF('283'!$K$253=1,(VLOOKUP($CO8,PerPortion,2)*VLOOKUP($CO8,PerStBal,6))+R8,GL!BS8))),0)</f>
        <v>0</v>
      </c>
      <c r="CK8" s="425">
        <f ca="1">IF($BH8=0,IF($CO8="",CK7+T8,IF('283'!$K$251=1,IF(mname2&lt;&gt;"",VLOOKUP($CO8,PerStBal,3)+T8,0),IF('283'!$K$253=1,(VLOOKUP($CO8,PerPortion,3)*VLOOKUP($CO8,PerStBal,6))+T8,GL!BT8))),0)</f>
        <v>0</v>
      </c>
      <c r="CL8" s="425">
        <f ca="1">IF($BH8=0,IF($CO8="",CL7+V8,IF('283'!$K$251=1,IF(mname3&lt;&gt;"",VLOOKUP($CO8,PerStBal,4)+V8,0),IF('283'!$K$253=1,(VLOOKUP($CO8,PerPortion,4)*VLOOKUP($CO8,PerStBal,6))+V8,GL!BU8))),0)</f>
        <v>0</v>
      </c>
      <c r="CM8" s="425">
        <f ca="1">IF($BH8=0,IF($CO8="",CM7+X8,IF('283'!$K$251=1,IF(mname4&lt;&gt;"",VLOOKUP($CO8,PerStBal,5)+X8,0),IF('283'!$K$253=1,(VLOOKUP($CO8,PerPortion,5)*VLOOKUP($CO8,PerStBal,6))+X8,GL!BV8))),0)</f>
        <v>0</v>
      </c>
      <c r="CN8" s="50">
        <f t="shared" ca="1" si="66"/>
        <v>0</v>
      </c>
      <c r="CO8" s="4" t="str">
        <f t="shared" ca="1" si="67"/>
        <v/>
      </c>
      <c r="CP8" s="377">
        <f t="shared" si="7"/>
        <v>0</v>
      </c>
      <c r="CR8" s="382" t="str">
        <f t="shared" ca="1" si="8"/>
        <v/>
      </c>
      <c r="CS8" s="382" t="str">
        <f t="shared" ca="1" si="9"/>
        <v/>
      </c>
      <c r="CT8" s="302" t="str">
        <f t="shared" ca="1" si="10"/>
        <v/>
      </c>
      <c r="CU8" s="302" t="str">
        <f t="shared" ca="1" si="11"/>
        <v/>
      </c>
      <c r="CV8" s="50">
        <f ca="1">IF(CR8&lt;&gt;"",AVERAGE(OFFSET($BQ$4,$CT8,2):OFFSET($BQ$4,$CU8,2)),0)</f>
        <v>0</v>
      </c>
      <c r="CW8" s="50">
        <f ca="1">IF(CR8&lt;&gt;"",AVERAGE(OFFSET($BQ$4,$CT8,3):OFFSET($BQ$4,$CU8,3)),0)</f>
        <v>0</v>
      </c>
      <c r="CX8" s="50">
        <f ca="1">IF(CR8&lt;&gt;"",AVERAGE(OFFSET($BQ$4,$CT8,4):OFFSET($BQ$4,$CU8,4)),0)</f>
        <v>0</v>
      </c>
      <c r="CY8" s="50">
        <f ca="1">IF(CR8&lt;&gt;"",AVERAGE(OFFSET($BQ$4,$CT8,5):OFFSET($BQ$4,$CU8,5)),0)</f>
        <v>0</v>
      </c>
      <c r="CZ8" s="112">
        <f t="shared" ca="1" si="68"/>
        <v>0</v>
      </c>
      <c r="DA8" s="4" t="str">
        <f t="shared" ca="1" si="69"/>
        <v/>
      </c>
      <c r="DB8" s="383">
        <f t="shared" ca="1" si="12"/>
        <v>0</v>
      </c>
      <c r="DC8" s="383">
        <f t="shared" ca="1" si="13"/>
        <v>0</v>
      </c>
      <c r="DD8" s="383">
        <f t="shared" ca="1" si="14"/>
        <v>0</v>
      </c>
      <c r="DE8" s="383">
        <f t="shared" ca="1" si="15"/>
        <v>0</v>
      </c>
      <c r="DI8" s="4">
        <f t="shared" si="70"/>
        <v>45112</v>
      </c>
      <c r="DJ8" s="112">
        <f t="shared" ca="1" si="71"/>
        <v>0</v>
      </c>
      <c r="DK8" s="112">
        <f t="shared" si="72"/>
        <v>0</v>
      </c>
      <c r="DL8" s="4">
        <f t="shared" si="73"/>
        <v>45112</v>
      </c>
      <c r="DM8" s="112">
        <f t="shared" ca="1" si="74"/>
        <v>0</v>
      </c>
      <c r="DN8" s="112">
        <f t="shared" si="75"/>
        <v>0</v>
      </c>
      <c r="DO8" s="4">
        <f t="shared" si="76"/>
        <v>45112</v>
      </c>
      <c r="DP8" s="112">
        <f t="shared" ca="1" si="77"/>
        <v>0</v>
      </c>
      <c r="DQ8" s="112">
        <f t="shared" si="78"/>
        <v>0</v>
      </c>
      <c r="DR8" s="4">
        <f t="shared" si="79"/>
        <v>45112</v>
      </c>
      <c r="DS8" s="112">
        <f t="shared" ca="1" si="80"/>
        <v>0</v>
      </c>
      <c r="DT8" s="112">
        <f t="shared" si="81"/>
        <v>0</v>
      </c>
      <c r="DU8" s="4">
        <f t="shared" si="82"/>
        <v>45112</v>
      </c>
      <c r="DV8" s="112">
        <f t="shared" si="83"/>
        <v>0</v>
      </c>
      <c r="DW8" s="112">
        <f t="shared" si="84"/>
        <v>0</v>
      </c>
    </row>
    <row r="9" spans="2:127" x14ac:dyDescent="0.25">
      <c r="B9" s="39" t="str">
        <f>IF(LEFT('283'!B116,1)="R","Benefits Paid","")</f>
        <v/>
      </c>
      <c r="C9" s="3" t="str">
        <f>IF(B9&lt;&gt;"",IF('283'!C116&lt;&gt;"",'283'!C116,""),"")</f>
        <v/>
      </c>
      <c r="D9" s="40" t="str">
        <f>IF($B9&lt;&gt;"",IF('283'!D116&lt;&gt;"",'283'!D116,""),"")</f>
        <v/>
      </c>
      <c r="E9" s="40" t="str">
        <f>IF($B9&lt;&gt;"",IF('283'!E116&lt;&gt;"",'283'!E116,""),"")</f>
        <v/>
      </c>
      <c r="F9" s="40" t="str">
        <f>IF($B9&lt;&gt;"",IF('283'!F116&lt;&gt;"",'283'!F116,""),"")</f>
        <v/>
      </c>
      <c r="G9" s="41" t="str">
        <f>IF($B9&lt;&gt;"",IF('283'!G116&lt;&gt;"",'283'!G116,""),"")</f>
        <v/>
      </c>
      <c r="H9" s="23">
        <v>5</v>
      </c>
      <c r="I9" s="42" t="str">
        <f>IF(AND(LEFT('283'!B116,1)&lt;&gt;"R",LEFT('283'!B116,1)&lt;&gt;""),'283'!B116,"")</f>
        <v/>
      </c>
      <c r="J9" s="3" t="str">
        <f>IF(I9&lt;&gt;"",IF('283'!C116&lt;&gt;"",'283'!C116,""),"")</f>
        <v/>
      </c>
      <c r="K9" s="40" t="str">
        <f>IF($I9&lt;&gt;"",IF('283'!D116&lt;&gt;"",IF(LEFT($I9,1)="N",-'283'!D116,'283'!D116),""),"")</f>
        <v/>
      </c>
      <c r="L9" s="40" t="str">
        <f>IF($I9&lt;&gt;"",IF('283'!E116&lt;&gt;"",IF(LEFT($I9,1)="N",-'283'!E116,'283'!E116),""),"")</f>
        <v/>
      </c>
      <c r="M9" s="40" t="str">
        <f>IF($I9&lt;&gt;"",IF('283'!F116&lt;&gt;"",IF(LEFT($I9,1)="N",-'283'!F116,'283'!F116),""),"")</f>
        <v/>
      </c>
      <c r="N9" s="40" t="str">
        <f>IF($I9&lt;&gt;"",IF('283'!G116&lt;&gt;"",IF(LEFT($I9,1)="N",-'283'!G116,'283'!G116),""),"")</f>
        <v/>
      </c>
      <c r="O9" s="43"/>
      <c r="P9" s="38"/>
      <c r="Q9" s="4">
        <f t="shared" si="16"/>
        <v>45113</v>
      </c>
      <c r="R9" s="24">
        <f t="shared" si="17"/>
        <v>0</v>
      </c>
      <c r="S9" s="25">
        <f t="shared" si="18"/>
        <v>0</v>
      </c>
      <c r="T9" s="24">
        <f t="shared" si="19"/>
        <v>0</v>
      </c>
      <c r="U9" s="25">
        <f t="shared" si="20"/>
        <v>0</v>
      </c>
      <c r="V9" s="24">
        <f t="shared" si="21"/>
        <v>0</v>
      </c>
      <c r="W9" s="25">
        <f t="shared" si="22"/>
        <v>0</v>
      </c>
      <c r="X9" s="24">
        <f t="shared" si="23"/>
        <v>0</v>
      </c>
      <c r="Y9" s="26">
        <f t="shared" si="24"/>
        <v>0</v>
      </c>
      <c r="Z9" s="27">
        <f t="shared" si="25"/>
        <v>0</v>
      </c>
      <c r="AA9" s="28">
        <f t="shared" si="26"/>
        <v>45113</v>
      </c>
      <c r="AB9" s="24">
        <f t="shared" si="27"/>
        <v>0</v>
      </c>
      <c r="AC9" s="25">
        <f t="shared" si="28"/>
        <v>0</v>
      </c>
      <c r="AD9" s="28">
        <f t="shared" si="29"/>
        <v>45113</v>
      </c>
      <c r="AE9" s="24">
        <f t="shared" si="30"/>
        <v>0</v>
      </c>
      <c r="AF9" s="25">
        <f t="shared" si="31"/>
        <v>0</v>
      </c>
      <c r="AG9" s="28">
        <f t="shared" si="32"/>
        <v>45113</v>
      </c>
      <c r="AH9" s="24">
        <f t="shared" si="33"/>
        <v>0</v>
      </c>
      <c r="AI9" s="25">
        <f t="shared" si="34"/>
        <v>0</v>
      </c>
      <c r="AJ9" s="28">
        <f t="shared" si="35"/>
        <v>45113</v>
      </c>
      <c r="AK9" s="24">
        <f t="shared" si="36"/>
        <v>0</v>
      </c>
      <c r="AL9" s="25">
        <f t="shared" si="37"/>
        <v>0</v>
      </c>
      <c r="AM9" s="29">
        <f t="shared" si="38"/>
        <v>0</v>
      </c>
      <c r="AN9" s="28">
        <f t="shared" si="39"/>
        <v>45113</v>
      </c>
      <c r="AO9" s="373">
        <f t="shared" si="0"/>
        <v>0</v>
      </c>
      <c r="AP9" s="374">
        <f t="shared" si="1"/>
        <v>0</v>
      </c>
      <c r="AQ9" s="27">
        <f t="shared" si="2"/>
        <v>0</v>
      </c>
      <c r="AR9" s="25">
        <f t="shared" si="3"/>
        <v>0</v>
      </c>
      <c r="AS9" s="25">
        <f t="shared" si="4"/>
        <v>0</v>
      </c>
      <c r="AT9" s="25">
        <f t="shared" si="5"/>
        <v>0</v>
      </c>
      <c r="AU9" s="29">
        <f t="shared" si="85"/>
        <v>0</v>
      </c>
      <c r="AV9" s="27">
        <f t="shared" si="40"/>
        <v>0</v>
      </c>
      <c r="AW9" s="27">
        <f t="shared" si="41"/>
        <v>0</v>
      </c>
      <c r="AX9" s="27">
        <f t="shared" si="42"/>
        <v>0</v>
      </c>
      <c r="AY9" s="27">
        <f t="shared" si="43"/>
        <v>0</v>
      </c>
      <c r="AZ9" s="2" t="str">
        <f t="shared" si="44"/>
        <v/>
      </c>
      <c r="BA9" s="2" t="str">
        <f t="shared" si="45"/>
        <v/>
      </c>
      <c r="BB9" s="2" t="str">
        <f t="shared" si="46"/>
        <v/>
      </c>
      <c r="BC9" s="2" t="str">
        <f t="shared" si="47"/>
        <v/>
      </c>
      <c r="BD9" s="2" t="str">
        <f t="shared" si="86"/>
        <v/>
      </c>
      <c r="BE9" s="2" t="str">
        <f t="shared" si="48"/>
        <v/>
      </c>
      <c r="BF9" s="2" t="str">
        <f t="shared" si="49"/>
        <v/>
      </c>
      <c r="BG9" s="2" t="str">
        <f t="shared" si="50"/>
        <v/>
      </c>
      <c r="BH9" s="2">
        <f t="shared" si="51"/>
        <v>0</v>
      </c>
      <c r="BI9" s="298" t="str">
        <f t="shared" si="87"/>
        <v/>
      </c>
      <c r="BJ9" s="298" t="str">
        <f t="shared" si="52"/>
        <v/>
      </c>
      <c r="BK9" s="335" t="str">
        <f ca="1">IF(BM8&lt;&gt;"",IF(MIN(OFFSET($BI$3,BM8+2,0):BI373)=0,"",MIN(OFFSET($BI$3,BM8+2,0):BI373)),"")</f>
        <v/>
      </c>
      <c r="BL9" s="301" t="str">
        <f ca="1">IF(BN8&lt;&gt;"",IF(MIN(OFFSET($BJ$3,BN8+2,0):BJ372)=0,IF(BK9&lt;&gt;"",$BL$1,""),MIN(OFFSET($BJ$3,BN8+2,0):BJ372)),"")</f>
        <v/>
      </c>
      <c r="BM9" s="302" t="str">
        <f t="shared" ca="1" si="53"/>
        <v/>
      </c>
      <c r="BN9" s="302" t="str">
        <f t="shared" ca="1" si="54"/>
        <v/>
      </c>
      <c r="BO9" s="336" t="str">
        <f t="shared" ca="1" si="88"/>
        <v/>
      </c>
      <c r="BP9" s="337" t="str">
        <f t="shared" ca="1" si="91"/>
        <v/>
      </c>
      <c r="BQ9" s="4">
        <f t="shared" si="55"/>
        <v>45113</v>
      </c>
      <c r="BR9" s="112">
        <f t="shared" si="56"/>
        <v>0</v>
      </c>
      <c r="BS9" s="112">
        <f t="shared" si="57"/>
        <v>0</v>
      </c>
      <c r="BT9" s="112">
        <f t="shared" si="58"/>
        <v>0</v>
      </c>
      <c r="BU9" s="112">
        <f t="shared" si="59"/>
        <v>0</v>
      </c>
      <c r="BV9" s="112">
        <f t="shared" si="60"/>
        <v>0</v>
      </c>
      <c r="BX9" s="343" t="str">
        <f t="shared" ca="1" si="61"/>
        <v/>
      </c>
      <c r="BY9" s="343" t="str">
        <f t="shared" ca="1" si="62"/>
        <v/>
      </c>
      <c r="CA9" s="301" t="str">
        <f t="shared" ca="1" si="92"/>
        <v/>
      </c>
      <c r="CB9" s="301" t="str">
        <f t="shared" ca="1" si="89"/>
        <v/>
      </c>
      <c r="CC9" s="2" t="str">
        <f t="shared" ca="1" si="90"/>
        <v/>
      </c>
      <c r="CD9" s="2">
        <v>3</v>
      </c>
      <c r="CE9" s="2" t="str">
        <f t="shared" ca="1" si="63"/>
        <v/>
      </c>
      <c r="CF9" s="2" t="str">
        <f t="shared" ca="1" si="64"/>
        <v/>
      </c>
      <c r="CI9" s="4">
        <f t="shared" si="65"/>
        <v>45113</v>
      </c>
      <c r="CJ9" s="50">
        <f ca="1">IF($BH9=0,IF($CO9="",CJ8+R9,IF('283'!$K$251=1,VLOOKUP($CO9,PerStBal,2)+R9,IF('283'!$K$253=1,(VLOOKUP($CO9,PerPortion,2)*VLOOKUP($CO9,PerStBal,6))+R9,GL!BS9))),0)</f>
        <v>0</v>
      </c>
      <c r="CK9" s="425">
        <f ca="1">IF($BH9=0,IF($CO9="",CK8+T9,IF('283'!$K$251=1,IF(mname2&lt;&gt;"",VLOOKUP($CO9,PerStBal,3)+T9,0),IF('283'!$K$253=1,(VLOOKUP($CO9,PerPortion,3)*VLOOKUP($CO9,PerStBal,6))+T9,GL!BT9))),0)</f>
        <v>0</v>
      </c>
      <c r="CL9" s="425">
        <f ca="1">IF($BH9=0,IF($CO9="",CL8+V9,IF('283'!$K$251=1,IF(mname3&lt;&gt;"",VLOOKUP($CO9,PerStBal,4)+V9,0),IF('283'!$K$253=1,(VLOOKUP($CO9,PerPortion,4)*VLOOKUP($CO9,PerStBal,6))+V9,GL!BU9))),0)</f>
        <v>0</v>
      </c>
      <c r="CM9" s="425">
        <f ca="1">IF($BH9=0,IF($CO9="",CM8+X9,IF('283'!$K$251=1,IF(mname4&lt;&gt;"",VLOOKUP($CO9,PerStBal,5)+X9,0),IF('283'!$K$253=1,(VLOOKUP($CO9,PerPortion,5)*VLOOKUP($CO9,PerStBal,6))+X9,GL!BV9))),0)</f>
        <v>0</v>
      </c>
      <c r="CN9" s="50">
        <f t="shared" ca="1" si="66"/>
        <v>0</v>
      </c>
      <c r="CO9" s="4" t="str">
        <f t="shared" ca="1" si="67"/>
        <v/>
      </c>
      <c r="CP9" s="377">
        <f t="shared" si="7"/>
        <v>0</v>
      </c>
      <c r="CR9" s="382" t="str">
        <f t="shared" ca="1" si="8"/>
        <v/>
      </c>
      <c r="CS9" s="382" t="str">
        <f t="shared" ca="1" si="9"/>
        <v/>
      </c>
      <c r="CT9" s="302" t="str">
        <f t="shared" ca="1" si="10"/>
        <v/>
      </c>
      <c r="CU9" s="302" t="str">
        <f t="shared" ca="1" si="11"/>
        <v/>
      </c>
      <c r="CV9" s="50">
        <f ca="1">IF(CR9&lt;&gt;"",AVERAGE(OFFSET($BQ$4,$CT9,2):OFFSET($BQ$4,$CU9,2)),0)</f>
        <v>0</v>
      </c>
      <c r="CW9" s="50">
        <f ca="1">IF(CR9&lt;&gt;"",AVERAGE(OFFSET($BQ$4,$CT9,3):OFFSET($BQ$4,$CU9,3)),0)</f>
        <v>0</v>
      </c>
      <c r="CX9" s="50">
        <f ca="1">IF(CR9&lt;&gt;"",AVERAGE(OFFSET($BQ$4,$CT9,4):OFFSET($BQ$4,$CU9,4)),0)</f>
        <v>0</v>
      </c>
      <c r="CY9" s="50">
        <f ca="1">IF(CR9&lt;&gt;"",AVERAGE(OFFSET($BQ$4,$CT9,5):OFFSET($BQ$4,$CU9,5)),0)</f>
        <v>0</v>
      </c>
      <c r="CZ9" s="112">
        <f t="shared" ca="1" si="68"/>
        <v>0</v>
      </c>
      <c r="DA9" s="4" t="str">
        <f t="shared" ca="1" si="69"/>
        <v/>
      </c>
      <c r="DB9" s="383">
        <f t="shared" ca="1" si="12"/>
        <v>0</v>
      </c>
      <c r="DC9" s="383">
        <f t="shared" ca="1" si="13"/>
        <v>0</v>
      </c>
      <c r="DD9" s="383">
        <f t="shared" ca="1" si="14"/>
        <v>0</v>
      </c>
      <c r="DE9" s="383">
        <f t="shared" ca="1" si="15"/>
        <v>0</v>
      </c>
      <c r="DI9" s="4">
        <f t="shared" si="70"/>
        <v>45113</v>
      </c>
      <c r="DJ9" s="112">
        <f t="shared" ca="1" si="71"/>
        <v>0</v>
      </c>
      <c r="DK9" s="112">
        <f t="shared" si="72"/>
        <v>0</v>
      </c>
      <c r="DL9" s="4">
        <f t="shared" si="73"/>
        <v>45113</v>
      </c>
      <c r="DM9" s="112">
        <f t="shared" ca="1" si="74"/>
        <v>0</v>
      </c>
      <c r="DN9" s="112">
        <f t="shared" si="75"/>
        <v>0</v>
      </c>
      <c r="DO9" s="4">
        <f t="shared" si="76"/>
        <v>45113</v>
      </c>
      <c r="DP9" s="112">
        <f t="shared" ca="1" si="77"/>
        <v>0</v>
      </c>
      <c r="DQ9" s="112">
        <f t="shared" si="78"/>
        <v>0</v>
      </c>
      <c r="DR9" s="4">
        <f t="shared" si="79"/>
        <v>45113</v>
      </c>
      <c r="DS9" s="112">
        <f t="shared" ca="1" si="80"/>
        <v>0</v>
      </c>
      <c r="DT9" s="112">
        <f t="shared" si="81"/>
        <v>0</v>
      </c>
      <c r="DU9" s="4">
        <f t="shared" si="82"/>
        <v>45113</v>
      </c>
      <c r="DV9" s="112">
        <f t="shared" si="83"/>
        <v>0</v>
      </c>
      <c r="DW9" s="112">
        <f t="shared" si="84"/>
        <v>0</v>
      </c>
    </row>
    <row r="10" spans="2:127" x14ac:dyDescent="0.25">
      <c r="B10" s="39" t="str">
        <f>IF(LEFT('283'!B117,1)="R","Benefits Paid","")</f>
        <v/>
      </c>
      <c r="C10" s="3" t="str">
        <f>IF(B10&lt;&gt;"",IF('283'!C117&lt;&gt;"",'283'!C117,""),"")</f>
        <v/>
      </c>
      <c r="D10" s="40" t="str">
        <f>IF($B10&lt;&gt;"",IF('283'!D117&lt;&gt;"",'283'!D117,""),"")</f>
        <v/>
      </c>
      <c r="E10" s="40" t="str">
        <f>IF($B10&lt;&gt;"",IF('283'!E117&lt;&gt;"",'283'!E117,""),"")</f>
        <v/>
      </c>
      <c r="F10" s="40" t="str">
        <f>IF($B10&lt;&gt;"",IF('283'!F117&lt;&gt;"",'283'!F117,""),"")</f>
        <v/>
      </c>
      <c r="G10" s="41" t="str">
        <f>IF($B10&lt;&gt;"",IF('283'!G117&lt;&gt;"",'283'!G117,""),"")</f>
        <v/>
      </c>
      <c r="H10" s="23">
        <v>6</v>
      </c>
      <c r="I10" s="42" t="str">
        <f>IF(AND(LEFT('283'!B117,1)&lt;&gt;"R",LEFT('283'!B117,1)&lt;&gt;""),'283'!B117,"")</f>
        <v/>
      </c>
      <c r="J10" s="3" t="str">
        <f>IF(I10&lt;&gt;"",IF('283'!C117&lt;&gt;"",'283'!C117,""),"")</f>
        <v/>
      </c>
      <c r="K10" s="40" t="str">
        <f>IF($I10&lt;&gt;"",IF('283'!D117&lt;&gt;"",IF(LEFT($I10,1)="N",-'283'!D117,'283'!D117),""),"")</f>
        <v/>
      </c>
      <c r="L10" s="40" t="str">
        <f>IF($I10&lt;&gt;"",IF('283'!E117&lt;&gt;"",IF(LEFT($I10,1)="N",-'283'!E117,'283'!E117),""),"")</f>
        <v/>
      </c>
      <c r="M10" s="40" t="str">
        <f>IF($I10&lt;&gt;"",IF('283'!F117&lt;&gt;"",IF(LEFT($I10,1)="N",-'283'!F117,'283'!F117),""),"")</f>
        <v/>
      </c>
      <c r="N10" s="40" t="str">
        <f>IF($I10&lt;&gt;"",IF('283'!G117&lt;&gt;"",IF(LEFT($I10,1)="N",-'283'!G117,'283'!G117),""),"")</f>
        <v/>
      </c>
      <c r="O10" s="43"/>
      <c r="P10" s="38"/>
      <c r="Q10" s="4">
        <f t="shared" si="16"/>
        <v>45114</v>
      </c>
      <c r="R10" s="24">
        <f t="shared" si="17"/>
        <v>0</v>
      </c>
      <c r="S10" s="25">
        <f t="shared" si="18"/>
        <v>0</v>
      </c>
      <c r="T10" s="24">
        <f t="shared" si="19"/>
        <v>0</v>
      </c>
      <c r="U10" s="25">
        <f t="shared" si="20"/>
        <v>0</v>
      </c>
      <c r="V10" s="24">
        <f t="shared" si="21"/>
        <v>0</v>
      </c>
      <c r="W10" s="25">
        <f t="shared" si="22"/>
        <v>0</v>
      </c>
      <c r="X10" s="24">
        <f t="shared" si="23"/>
        <v>0</v>
      </c>
      <c r="Y10" s="26">
        <f t="shared" si="24"/>
        <v>0</v>
      </c>
      <c r="Z10" s="27">
        <f t="shared" si="25"/>
        <v>0</v>
      </c>
      <c r="AA10" s="28">
        <f t="shared" si="26"/>
        <v>45114</v>
      </c>
      <c r="AB10" s="24">
        <f t="shared" si="27"/>
        <v>0</v>
      </c>
      <c r="AC10" s="25">
        <f t="shared" si="28"/>
        <v>0</v>
      </c>
      <c r="AD10" s="28">
        <f t="shared" si="29"/>
        <v>45114</v>
      </c>
      <c r="AE10" s="24">
        <f t="shared" si="30"/>
        <v>0</v>
      </c>
      <c r="AF10" s="25">
        <f t="shared" si="31"/>
        <v>0</v>
      </c>
      <c r="AG10" s="28">
        <f t="shared" si="32"/>
        <v>45114</v>
      </c>
      <c r="AH10" s="24">
        <f t="shared" si="33"/>
        <v>0</v>
      </c>
      <c r="AI10" s="25">
        <f t="shared" si="34"/>
        <v>0</v>
      </c>
      <c r="AJ10" s="28">
        <f t="shared" si="35"/>
        <v>45114</v>
      </c>
      <c r="AK10" s="24">
        <f t="shared" si="36"/>
        <v>0</v>
      </c>
      <c r="AL10" s="25">
        <f t="shared" si="37"/>
        <v>0</v>
      </c>
      <c r="AM10" s="29">
        <f t="shared" si="38"/>
        <v>0</v>
      </c>
      <c r="AN10" s="28">
        <f t="shared" si="39"/>
        <v>45114</v>
      </c>
      <c r="AO10" s="373">
        <f t="shared" si="0"/>
        <v>0</v>
      </c>
      <c r="AP10" s="374">
        <f t="shared" si="1"/>
        <v>0</v>
      </c>
      <c r="AQ10" s="27">
        <f t="shared" si="2"/>
        <v>0</v>
      </c>
      <c r="AR10" s="25">
        <f t="shared" si="3"/>
        <v>0</v>
      </c>
      <c r="AS10" s="25">
        <f t="shared" si="4"/>
        <v>0</v>
      </c>
      <c r="AT10" s="25">
        <f t="shared" si="5"/>
        <v>0</v>
      </c>
      <c r="AU10" s="29">
        <f t="shared" si="85"/>
        <v>0</v>
      </c>
      <c r="AV10" s="27">
        <f t="shared" si="40"/>
        <v>0</v>
      </c>
      <c r="AW10" s="27">
        <f t="shared" si="41"/>
        <v>0</v>
      </c>
      <c r="AX10" s="27">
        <f t="shared" si="42"/>
        <v>0</v>
      </c>
      <c r="AY10" s="27">
        <f t="shared" si="43"/>
        <v>0</v>
      </c>
      <c r="AZ10" s="2" t="str">
        <f t="shared" si="44"/>
        <v/>
      </c>
      <c r="BA10" s="2" t="str">
        <f t="shared" si="45"/>
        <v/>
      </c>
      <c r="BB10" s="2" t="str">
        <f t="shared" si="46"/>
        <v/>
      </c>
      <c r="BC10" s="2" t="str">
        <f t="shared" si="47"/>
        <v/>
      </c>
      <c r="BD10" s="2" t="str">
        <f t="shared" si="86"/>
        <v/>
      </c>
      <c r="BE10" s="2" t="str">
        <f t="shared" si="48"/>
        <v/>
      </c>
      <c r="BF10" s="2" t="str">
        <f t="shared" si="49"/>
        <v/>
      </c>
      <c r="BG10" s="2" t="str">
        <f t="shared" si="50"/>
        <v/>
      </c>
      <c r="BH10" s="2">
        <f t="shared" si="51"/>
        <v>0</v>
      </c>
      <c r="BI10" s="298" t="str">
        <f t="shared" si="87"/>
        <v/>
      </c>
      <c r="BJ10" s="298" t="str">
        <f t="shared" si="52"/>
        <v/>
      </c>
      <c r="BK10" s="335" t="str">
        <f ca="1">IF(BM9&lt;&gt;"",IF(MIN(OFFSET($BI$3,BM9+2,0):BI374)=0,"",MIN(OFFSET($BI$3,BM9+2,0):BI374)),"")</f>
        <v/>
      </c>
      <c r="BL10" s="301" t="str">
        <f ca="1">IF(BN9&lt;&gt;"",IF(MIN(OFFSET($BJ$3,BN9+2,0):BJ373)=0,IF(BK10&lt;&gt;"",$BL$1,""),MIN(OFFSET($BJ$3,BN9+2,0):BJ373)),"")</f>
        <v/>
      </c>
      <c r="BM10" s="302" t="str">
        <f t="shared" ca="1" si="53"/>
        <v/>
      </c>
      <c r="BN10" s="302" t="str">
        <f t="shared" ca="1" si="54"/>
        <v/>
      </c>
      <c r="BO10" s="336" t="str">
        <f t="shared" ca="1" si="88"/>
        <v/>
      </c>
      <c r="BP10" s="337" t="str">
        <f t="shared" ca="1" si="91"/>
        <v/>
      </c>
      <c r="BQ10" s="4">
        <f t="shared" si="55"/>
        <v>45114</v>
      </c>
      <c r="BR10" s="112">
        <f t="shared" si="56"/>
        <v>0</v>
      </c>
      <c r="BS10" s="112">
        <f t="shared" si="57"/>
        <v>0</v>
      </c>
      <c r="BT10" s="112">
        <f t="shared" si="58"/>
        <v>0</v>
      </c>
      <c r="BU10" s="112">
        <f t="shared" si="59"/>
        <v>0</v>
      </c>
      <c r="BV10" s="112">
        <f t="shared" si="60"/>
        <v>0</v>
      </c>
      <c r="BX10" s="343" t="str">
        <f t="shared" ca="1" si="61"/>
        <v/>
      </c>
      <c r="BY10" s="343" t="str">
        <f t="shared" ca="1" si="62"/>
        <v/>
      </c>
      <c r="CA10" s="301" t="str">
        <f t="shared" ca="1" si="92"/>
        <v/>
      </c>
      <c r="CB10" s="301" t="str">
        <f t="shared" ca="1" si="89"/>
        <v/>
      </c>
      <c r="CC10" s="2" t="str">
        <f t="shared" ca="1" si="90"/>
        <v/>
      </c>
      <c r="CD10" s="2">
        <v>4</v>
      </c>
      <c r="CE10" s="2" t="str">
        <f t="shared" ca="1" si="63"/>
        <v/>
      </c>
      <c r="CF10" s="2" t="str">
        <f t="shared" ca="1" si="64"/>
        <v/>
      </c>
      <c r="CI10" s="4">
        <f t="shared" si="65"/>
        <v>45114</v>
      </c>
      <c r="CJ10" s="50">
        <f ca="1">IF($BH10=0,IF($CO10="",CJ9+R10,IF('283'!$K$251=1,VLOOKUP($CO10,PerStBal,2)+R10,IF('283'!$K$253=1,(VLOOKUP($CO10,PerPortion,2)*VLOOKUP($CO10,PerStBal,6))+R10,GL!BS10))),0)</f>
        <v>0</v>
      </c>
      <c r="CK10" s="425">
        <f ca="1">IF($BH10=0,IF($CO10="",CK9+T10,IF('283'!$K$251=1,IF(mname2&lt;&gt;"",VLOOKUP($CO10,PerStBal,3)+T10,0),IF('283'!$K$253=1,(VLOOKUP($CO10,PerPortion,3)*VLOOKUP($CO10,PerStBal,6))+T10,GL!BT10))),0)</f>
        <v>0</v>
      </c>
      <c r="CL10" s="425">
        <f ca="1">IF($BH10=0,IF($CO10="",CL9+V10,IF('283'!$K$251=1,IF(mname3&lt;&gt;"",VLOOKUP($CO10,PerStBal,4)+V10,0),IF('283'!$K$253=1,(VLOOKUP($CO10,PerPortion,4)*VLOOKUP($CO10,PerStBal,6))+V10,GL!BU10))),0)</f>
        <v>0</v>
      </c>
      <c r="CM10" s="425">
        <f ca="1">IF($BH10=0,IF($CO10="",CM9+X10,IF('283'!$K$251=1,IF(mname4&lt;&gt;"",VLOOKUP($CO10,PerStBal,5)+X10,0),IF('283'!$K$253=1,(VLOOKUP($CO10,PerPortion,5)*VLOOKUP($CO10,PerStBal,6))+X10,GL!BV10))),0)</f>
        <v>0</v>
      </c>
      <c r="CN10" s="50">
        <f t="shared" ca="1" si="66"/>
        <v>0</v>
      </c>
      <c r="CO10" s="4" t="str">
        <f t="shared" ca="1" si="67"/>
        <v/>
      </c>
      <c r="CP10" s="377">
        <f t="shared" si="7"/>
        <v>0</v>
      </c>
      <c r="CR10" s="382" t="str">
        <f t="shared" ca="1" si="8"/>
        <v/>
      </c>
      <c r="CS10" s="382" t="str">
        <f t="shared" ca="1" si="9"/>
        <v/>
      </c>
      <c r="CT10" s="302" t="str">
        <f t="shared" ca="1" si="10"/>
        <v/>
      </c>
      <c r="CU10" s="302" t="str">
        <f t="shared" ca="1" si="11"/>
        <v/>
      </c>
      <c r="CV10" s="50">
        <f ca="1">IF(CR10&lt;&gt;"",AVERAGE(OFFSET($BQ$4,$CT10,2):OFFSET($BQ$4,$CU10,2)),0)</f>
        <v>0</v>
      </c>
      <c r="CW10" s="50">
        <f ca="1">IF(CR10&lt;&gt;"",AVERAGE(OFFSET($BQ$4,$CT10,3):OFFSET($BQ$4,$CU10,3)),0)</f>
        <v>0</v>
      </c>
      <c r="CX10" s="50">
        <f ca="1">IF(CR10&lt;&gt;"",AVERAGE(OFFSET($BQ$4,$CT10,4):OFFSET($BQ$4,$CU10,4)),0)</f>
        <v>0</v>
      </c>
      <c r="CY10" s="50">
        <f ca="1">IF(CR10&lt;&gt;"",AVERAGE(OFFSET($BQ$4,$CT10,5):OFFSET($BQ$4,$CU10,5)),0)</f>
        <v>0</v>
      </c>
      <c r="CZ10" s="112">
        <f t="shared" ca="1" si="68"/>
        <v>0</v>
      </c>
      <c r="DA10" s="4" t="str">
        <f t="shared" ca="1" si="69"/>
        <v/>
      </c>
      <c r="DB10" s="383">
        <f t="shared" ca="1" si="12"/>
        <v>0</v>
      </c>
      <c r="DC10" s="383">
        <f t="shared" ca="1" si="13"/>
        <v>0</v>
      </c>
      <c r="DD10" s="383">
        <f t="shared" ca="1" si="14"/>
        <v>0</v>
      </c>
      <c r="DE10" s="383">
        <f t="shared" ca="1" si="15"/>
        <v>0</v>
      </c>
      <c r="DI10" s="4">
        <f t="shared" si="70"/>
        <v>45114</v>
      </c>
      <c r="DJ10" s="112">
        <f t="shared" ca="1" si="71"/>
        <v>0</v>
      </c>
      <c r="DK10" s="112">
        <f t="shared" si="72"/>
        <v>0</v>
      </c>
      <c r="DL10" s="4">
        <f t="shared" si="73"/>
        <v>45114</v>
      </c>
      <c r="DM10" s="112">
        <f t="shared" ca="1" si="74"/>
        <v>0</v>
      </c>
      <c r="DN10" s="112">
        <f t="shared" si="75"/>
        <v>0</v>
      </c>
      <c r="DO10" s="4">
        <f t="shared" si="76"/>
        <v>45114</v>
      </c>
      <c r="DP10" s="112">
        <f t="shared" ca="1" si="77"/>
        <v>0</v>
      </c>
      <c r="DQ10" s="112">
        <f t="shared" si="78"/>
        <v>0</v>
      </c>
      <c r="DR10" s="4">
        <f t="shared" si="79"/>
        <v>45114</v>
      </c>
      <c r="DS10" s="112">
        <f t="shared" ca="1" si="80"/>
        <v>0</v>
      </c>
      <c r="DT10" s="112">
        <f t="shared" si="81"/>
        <v>0</v>
      </c>
      <c r="DU10" s="4">
        <f t="shared" si="82"/>
        <v>45114</v>
      </c>
      <c r="DV10" s="112">
        <f t="shared" si="83"/>
        <v>0</v>
      </c>
      <c r="DW10" s="112">
        <f t="shared" si="84"/>
        <v>0</v>
      </c>
    </row>
    <row r="11" spans="2:127" x14ac:dyDescent="0.25">
      <c r="B11" s="39" t="str">
        <f>IF(LEFT('283'!B118,1)="R","Benefits Paid","")</f>
        <v/>
      </c>
      <c r="C11" s="3" t="str">
        <f>IF(B11&lt;&gt;"",IF('283'!C118&lt;&gt;"",'283'!C118,""),"")</f>
        <v/>
      </c>
      <c r="D11" s="40" t="str">
        <f>IF($B11&lt;&gt;"",IF('283'!D118&lt;&gt;"",'283'!D118,""),"")</f>
        <v/>
      </c>
      <c r="E11" s="40" t="str">
        <f>IF($B11&lt;&gt;"",IF('283'!E118&lt;&gt;"",'283'!E118,""),"")</f>
        <v/>
      </c>
      <c r="F11" s="40" t="str">
        <f>IF($B11&lt;&gt;"",IF('283'!F118&lt;&gt;"",'283'!F118,""),"")</f>
        <v/>
      </c>
      <c r="G11" s="41" t="str">
        <f>IF($B11&lt;&gt;"",IF('283'!G118&lt;&gt;"",'283'!G118,""),"")</f>
        <v/>
      </c>
      <c r="H11" s="23">
        <v>7</v>
      </c>
      <c r="I11" s="42" t="str">
        <f>IF(AND(LEFT('283'!B118,1)&lt;&gt;"R",LEFT('283'!B118,1)&lt;&gt;""),'283'!B118,"")</f>
        <v/>
      </c>
      <c r="J11" s="3" t="str">
        <f>IF(I11&lt;&gt;"",IF('283'!C118&lt;&gt;"",'283'!C118,""),"")</f>
        <v/>
      </c>
      <c r="K11" s="40" t="str">
        <f>IF($I11&lt;&gt;"",IF('283'!D118&lt;&gt;"",IF(LEFT($I11,1)="N",-'283'!D118,'283'!D118),""),"")</f>
        <v/>
      </c>
      <c r="L11" s="40" t="str">
        <f>IF($I11&lt;&gt;"",IF('283'!E118&lt;&gt;"",IF(LEFT($I11,1)="N",-'283'!E118,'283'!E118),""),"")</f>
        <v/>
      </c>
      <c r="M11" s="40" t="str">
        <f>IF($I11&lt;&gt;"",IF('283'!F118&lt;&gt;"",IF(LEFT($I11,1)="N",-'283'!F118,'283'!F118),""),"")</f>
        <v/>
      </c>
      <c r="N11" s="40" t="str">
        <f>IF($I11&lt;&gt;"",IF('283'!G118&lt;&gt;"",IF(LEFT($I11,1)="N",-'283'!G118,'283'!G118),""),"")</f>
        <v/>
      </c>
      <c r="O11" s="43"/>
      <c r="P11" s="38"/>
      <c r="Q11" s="4">
        <f t="shared" si="16"/>
        <v>45115</v>
      </c>
      <c r="R11" s="24">
        <f t="shared" si="17"/>
        <v>0</v>
      </c>
      <c r="S11" s="25">
        <f t="shared" si="18"/>
        <v>0</v>
      </c>
      <c r="T11" s="24">
        <f t="shared" si="19"/>
        <v>0</v>
      </c>
      <c r="U11" s="25">
        <f t="shared" si="20"/>
        <v>0</v>
      </c>
      <c r="V11" s="24">
        <f t="shared" si="21"/>
        <v>0</v>
      </c>
      <c r="W11" s="25">
        <f t="shared" si="22"/>
        <v>0</v>
      </c>
      <c r="X11" s="24">
        <f t="shared" si="23"/>
        <v>0</v>
      </c>
      <c r="Y11" s="26">
        <f t="shared" si="24"/>
        <v>0</v>
      </c>
      <c r="Z11" s="27">
        <f t="shared" si="25"/>
        <v>0</v>
      </c>
      <c r="AA11" s="28">
        <f t="shared" si="26"/>
        <v>45115</v>
      </c>
      <c r="AB11" s="24">
        <f t="shared" si="27"/>
        <v>0</v>
      </c>
      <c r="AC11" s="25">
        <f t="shared" si="28"/>
        <v>0</v>
      </c>
      <c r="AD11" s="28">
        <f t="shared" si="29"/>
        <v>45115</v>
      </c>
      <c r="AE11" s="24">
        <f t="shared" si="30"/>
        <v>0</v>
      </c>
      <c r="AF11" s="25">
        <f t="shared" si="31"/>
        <v>0</v>
      </c>
      <c r="AG11" s="28">
        <f t="shared" si="32"/>
        <v>45115</v>
      </c>
      <c r="AH11" s="24">
        <f t="shared" si="33"/>
        <v>0</v>
      </c>
      <c r="AI11" s="25">
        <f t="shared" si="34"/>
        <v>0</v>
      </c>
      <c r="AJ11" s="28">
        <f t="shared" si="35"/>
        <v>45115</v>
      </c>
      <c r="AK11" s="24">
        <f t="shared" si="36"/>
        <v>0</v>
      </c>
      <c r="AL11" s="25">
        <f t="shared" si="37"/>
        <v>0</v>
      </c>
      <c r="AM11" s="29">
        <f t="shared" si="38"/>
        <v>0</v>
      </c>
      <c r="AN11" s="28">
        <f t="shared" si="39"/>
        <v>45115</v>
      </c>
      <c r="AO11" s="373">
        <f t="shared" si="0"/>
        <v>0</v>
      </c>
      <c r="AP11" s="374">
        <f t="shared" si="1"/>
        <v>0</v>
      </c>
      <c r="AQ11" s="27">
        <f t="shared" si="2"/>
        <v>0</v>
      </c>
      <c r="AR11" s="25">
        <f t="shared" si="3"/>
        <v>0</v>
      </c>
      <c r="AS11" s="25">
        <f t="shared" si="4"/>
        <v>0</v>
      </c>
      <c r="AT11" s="25">
        <f t="shared" si="5"/>
        <v>0</v>
      </c>
      <c r="AU11" s="29">
        <f t="shared" si="85"/>
        <v>0</v>
      </c>
      <c r="AV11" s="27">
        <f t="shared" si="40"/>
        <v>0</v>
      </c>
      <c r="AW11" s="27">
        <f t="shared" si="41"/>
        <v>0</v>
      </c>
      <c r="AX11" s="27">
        <f t="shared" si="42"/>
        <v>0</v>
      </c>
      <c r="AY11" s="27">
        <f t="shared" si="43"/>
        <v>0</v>
      </c>
      <c r="AZ11" s="2" t="str">
        <f t="shared" si="44"/>
        <v/>
      </c>
      <c r="BA11" s="2" t="str">
        <f t="shared" si="45"/>
        <v/>
      </c>
      <c r="BB11" s="2" t="str">
        <f t="shared" si="46"/>
        <v/>
      </c>
      <c r="BC11" s="2" t="str">
        <f t="shared" si="47"/>
        <v/>
      </c>
      <c r="BD11" s="2" t="str">
        <f t="shared" si="86"/>
        <v/>
      </c>
      <c r="BE11" s="2" t="str">
        <f t="shared" si="48"/>
        <v/>
      </c>
      <c r="BF11" s="2" t="str">
        <f t="shared" si="49"/>
        <v/>
      </c>
      <c r="BG11" s="2" t="str">
        <f t="shared" si="50"/>
        <v/>
      </c>
      <c r="BH11" s="2">
        <f t="shared" si="51"/>
        <v>0</v>
      </c>
      <c r="BI11" s="298" t="str">
        <f t="shared" si="87"/>
        <v/>
      </c>
      <c r="BJ11" s="298" t="str">
        <f t="shared" si="52"/>
        <v/>
      </c>
      <c r="BK11" s="335" t="str">
        <f ca="1">IF(BM10&lt;&gt;"",IF(MIN(OFFSET($BI$3,BM10+2,0):BI375)=0,"",MIN(OFFSET($BI$3,BM10+2,0):BI375)),"")</f>
        <v/>
      </c>
      <c r="BL11" s="301" t="str">
        <f ca="1">IF(BN10&lt;&gt;"",IF(MIN(OFFSET($BJ$3,BN10+2,0):BJ374)=0,IF(BK11&lt;&gt;"",$BL$1,""),MIN(OFFSET($BJ$3,BN10+2,0):BJ374)),"")</f>
        <v/>
      </c>
      <c r="BM11" s="302" t="str">
        <f t="shared" ca="1" si="53"/>
        <v/>
      </c>
      <c r="BN11" s="302" t="str">
        <f t="shared" ca="1" si="54"/>
        <v/>
      </c>
      <c r="BO11" s="336" t="str">
        <f t="shared" ca="1" si="88"/>
        <v/>
      </c>
      <c r="BP11" s="337" t="str">
        <f t="shared" ca="1" si="91"/>
        <v/>
      </c>
      <c r="BQ11" s="4">
        <f t="shared" si="55"/>
        <v>45115</v>
      </c>
      <c r="BR11" s="112">
        <f t="shared" si="56"/>
        <v>0</v>
      </c>
      <c r="BS11" s="112">
        <f t="shared" si="57"/>
        <v>0</v>
      </c>
      <c r="BT11" s="112">
        <f t="shared" si="58"/>
        <v>0</v>
      </c>
      <c r="BU11" s="112">
        <f t="shared" si="59"/>
        <v>0</v>
      </c>
      <c r="BV11" s="112">
        <f t="shared" si="60"/>
        <v>0</v>
      </c>
      <c r="BX11" s="343" t="str">
        <f t="shared" ca="1" si="61"/>
        <v/>
      </c>
      <c r="BY11" s="343" t="str">
        <f t="shared" ca="1" si="62"/>
        <v/>
      </c>
      <c r="CA11" s="301" t="str">
        <f t="shared" ca="1" si="92"/>
        <v/>
      </c>
      <c r="CB11" s="301" t="str">
        <f t="shared" ca="1" si="89"/>
        <v/>
      </c>
      <c r="CC11" s="2" t="str">
        <f t="shared" ca="1" si="90"/>
        <v/>
      </c>
      <c r="CD11" s="2">
        <v>4</v>
      </c>
      <c r="CE11" s="2" t="str">
        <f t="shared" ca="1" si="63"/>
        <v/>
      </c>
      <c r="CF11" s="2" t="str">
        <f t="shared" ca="1" si="64"/>
        <v/>
      </c>
      <c r="CI11" s="4">
        <f t="shared" si="65"/>
        <v>45115</v>
      </c>
      <c r="CJ11" s="50">
        <f ca="1">IF($BH11=0,IF($CO11="",CJ10+R11,IF('283'!$K$251=1,VLOOKUP($CO11,PerStBal,2)+R11,IF('283'!$K$253=1,(VLOOKUP($CO11,PerPortion,2)*VLOOKUP($CO11,PerStBal,6))+R11,GL!BS11))),0)</f>
        <v>0</v>
      </c>
      <c r="CK11" s="425">
        <f ca="1">IF($BH11=0,IF($CO11="",CK10+T11,IF('283'!$K$251=1,IF(mname2&lt;&gt;"",VLOOKUP($CO11,PerStBal,3)+T11,0),IF('283'!$K$253=1,(VLOOKUP($CO11,PerPortion,3)*VLOOKUP($CO11,PerStBal,6))+T11,GL!BT11))),0)</f>
        <v>0</v>
      </c>
      <c r="CL11" s="425">
        <f ca="1">IF($BH11=0,IF($CO11="",CL10+V11,IF('283'!$K$251=1,IF(mname3&lt;&gt;"",VLOOKUP($CO11,PerStBal,4)+V11,0),IF('283'!$K$253=1,(VLOOKUP($CO11,PerPortion,4)*VLOOKUP($CO11,PerStBal,6))+V11,GL!BU11))),0)</f>
        <v>0</v>
      </c>
      <c r="CM11" s="425">
        <f ca="1">IF($BH11=0,IF($CO11="",CM10+X11,IF('283'!$K$251=1,IF(mname4&lt;&gt;"",VLOOKUP($CO11,PerStBal,5)+X11,0),IF('283'!$K$253=1,(VLOOKUP($CO11,PerPortion,5)*VLOOKUP($CO11,PerStBal,6))+X11,GL!BV11))),0)</f>
        <v>0</v>
      </c>
      <c r="CN11" s="50">
        <f t="shared" ca="1" si="66"/>
        <v>0</v>
      </c>
      <c r="CO11" s="4" t="str">
        <f t="shared" ca="1" si="67"/>
        <v/>
      </c>
      <c r="CP11" s="377">
        <f t="shared" si="7"/>
        <v>0</v>
      </c>
      <c r="CR11" s="382" t="str">
        <f t="shared" ca="1" si="8"/>
        <v/>
      </c>
      <c r="CS11" s="382" t="str">
        <f t="shared" ca="1" si="9"/>
        <v/>
      </c>
      <c r="CT11" s="302" t="str">
        <f t="shared" ca="1" si="10"/>
        <v/>
      </c>
      <c r="CU11" s="302" t="str">
        <f t="shared" ca="1" si="11"/>
        <v/>
      </c>
      <c r="CV11" s="50">
        <f ca="1">IF(CR11&lt;&gt;"",AVERAGE(OFFSET($BQ$4,$CT11,2):OFFSET($BQ$4,$CU11,2)),0)</f>
        <v>0</v>
      </c>
      <c r="CW11" s="50">
        <f ca="1">IF(CR11&lt;&gt;"",AVERAGE(OFFSET($BQ$4,$CT11,3):OFFSET($BQ$4,$CU11,3)),0)</f>
        <v>0</v>
      </c>
      <c r="CX11" s="50">
        <f ca="1">IF(CR11&lt;&gt;"",AVERAGE(OFFSET($BQ$4,$CT11,4):OFFSET($BQ$4,$CU11,4)),0)</f>
        <v>0</v>
      </c>
      <c r="CY11" s="50">
        <f ca="1">IF(CR11&lt;&gt;"",AVERAGE(OFFSET($BQ$4,$CT11,5):OFFSET($BQ$4,$CU11,5)),0)</f>
        <v>0</v>
      </c>
      <c r="CZ11" s="112">
        <f t="shared" ca="1" si="68"/>
        <v>0</v>
      </c>
      <c r="DA11" s="4" t="str">
        <f t="shared" ca="1" si="69"/>
        <v/>
      </c>
      <c r="DB11" s="383">
        <f t="shared" ca="1" si="12"/>
        <v>0</v>
      </c>
      <c r="DC11" s="383">
        <f t="shared" ca="1" si="13"/>
        <v>0</v>
      </c>
      <c r="DD11" s="383">
        <f t="shared" ca="1" si="14"/>
        <v>0</v>
      </c>
      <c r="DE11" s="383">
        <f t="shared" ca="1" si="15"/>
        <v>0</v>
      </c>
      <c r="DI11" s="4">
        <f t="shared" si="70"/>
        <v>45115</v>
      </c>
      <c r="DJ11" s="112">
        <f t="shared" ca="1" si="71"/>
        <v>0</v>
      </c>
      <c r="DK11" s="112">
        <f t="shared" si="72"/>
        <v>0</v>
      </c>
      <c r="DL11" s="4">
        <f t="shared" si="73"/>
        <v>45115</v>
      </c>
      <c r="DM11" s="112">
        <f t="shared" ca="1" si="74"/>
        <v>0</v>
      </c>
      <c r="DN11" s="112">
        <f t="shared" si="75"/>
        <v>0</v>
      </c>
      <c r="DO11" s="4">
        <f t="shared" si="76"/>
        <v>45115</v>
      </c>
      <c r="DP11" s="112">
        <f t="shared" ca="1" si="77"/>
        <v>0</v>
      </c>
      <c r="DQ11" s="112">
        <f t="shared" si="78"/>
        <v>0</v>
      </c>
      <c r="DR11" s="4">
        <f t="shared" si="79"/>
        <v>45115</v>
      </c>
      <c r="DS11" s="112">
        <f t="shared" ca="1" si="80"/>
        <v>0</v>
      </c>
      <c r="DT11" s="112">
        <f t="shared" si="81"/>
        <v>0</v>
      </c>
      <c r="DU11" s="4">
        <f t="shared" si="82"/>
        <v>45115</v>
      </c>
      <c r="DV11" s="112">
        <f t="shared" si="83"/>
        <v>0</v>
      </c>
      <c r="DW11" s="112">
        <f t="shared" si="84"/>
        <v>0</v>
      </c>
    </row>
    <row r="12" spans="2:127" x14ac:dyDescent="0.25">
      <c r="B12" s="39" t="str">
        <f>IF(LEFT('283'!B119,1)="R","Benefits Paid","")</f>
        <v/>
      </c>
      <c r="C12" s="3" t="str">
        <f>IF(B12&lt;&gt;"",IF('283'!C119&lt;&gt;"",'283'!C119,""),"")</f>
        <v/>
      </c>
      <c r="D12" s="40" t="str">
        <f>IF($B12&lt;&gt;"",IF('283'!D119&lt;&gt;"",'283'!D119,""),"")</f>
        <v/>
      </c>
      <c r="E12" s="40" t="str">
        <f>IF($B12&lt;&gt;"",IF('283'!E119&lt;&gt;"",'283'!E119,""),"")</f>
        <v/>
      </c>
      <c r="F12" s="40" t="str">
        <f>IF($B12&lt;&gt;"",IF('283'!F119&lt;&gt;"",'283'!F119,""),"")</f>
        <v/>
      </c>
      <c r="G12" s="41" t="str">
        <f>IF($B12&lt;&gt;"",IF('283'!G119&lt;&gt;"",'283'!G119,""),"")</f>
        <v/>
      </c>
      <c r="H12" s="23">
        <v>8</v>
      </c>
      <c r="I12" s="42" t="str">
        <f>IF(AND(LEFT('283'!B119,1)&lt;&gt;"R",LEFT('283'!B119,1)&lt;&gt;""),'283'!B119,"")</f>
        <v/>
      </c>
      <c r="J12" s="3" t="str">
        <f>IF(I12&lt;&gt;"",IF('283'!C119&lt;&gt;"",'283'!C119,""),"")</f>
        <v/>
      </c>
      <c r="K12" s="40" t="str">
        <f>IF($I12&lt;&gt;"",IF('283'!D119&lt;&gt;"",IF(LEFT($I12,1)="N",-'283'!D119,'283'!D119),""),"")</f>
        <v/>
      </c>
      <c r="L12" s="40" t="str">
        <f>IF($I12&lt;&gt;"",IF('283'!E119&lt;&gt;"",IF(LEFT($I12,1)="N",-'283'!E119,'283'!E119),""),"")</f>
        <v/>
      </c>
      <c r="M12" s="40" t="str">
        <f>IF($I12&lt;&gt;"",IF('283'!F119&lt;&gt;"",IF(LEFT($I12,1)="N",-'283'!F119,'283'!F119),""),"")</f>
        <v/>
      </c>
      <c r="N12" s="40" t="str">
        <f>IF($I12&lt;&gt;"",IF('283'!G119&lt;&gt;"",IF(LEFT($I12,1)="N",-'283'!G119,'283'!G119),""),"")</f>
        <v/>
      </c>
      <c r="O12" s="43"/>
      <c r="P12" s="38"/>
      <c r="Q12" s="4">
        <f t="shared" si="16"/>
        <v>45116</v>
      </c>
      <c r="R12" s="24">
        <f t="shared" si="17"/>
        <v>0</v>
      </c>
      <c r="S12" s="25">
        <f t="shared" si="18"/>
        <v>0</v>
      </c>
      <c r="T12" s="24">
        <f t="shared" si="19"/>
        <v>0</v>
      </c>
      <c r="U12" s="25">
        <f t="shared" si="20"/>
        <v>0</v>
      </c>
      <c r="V12" s="24">
        <f t="shared" si="21"/>
        <v>0</v>
      </c>
      <c r="W12" s="25">
        <f t="shared" si="22"/>
        <v>0</v>
      </c>
      <c r="X12" s="24">
        <f t="shared" si="23"/>
        <v>0</v>
      </c>
      <c r="Y12" s="26">
        <f t="shared" si="24"/>
        <v>0</v>
      </c>
      <c r="Z12" s="27">
        <f t="shared" si="25"/>
        <v>0</v>
      </c>
      <c r="AA12" s="28">
        <f t="shared" si="26"/>
        <v>45116</v>
      </c>
      <c r="AB12" s="24">
        <f t="shared" si="27"/>
        <v>0</v>
      </c>
      <c r="AC12" s="25">
        <f t="shared" si="28"/>
        <v>0</v>
      </c>
      <c r="AD12" s="28">
        <f t="shared" si="29"/>
        <v>45116</v>
      </c>
      <c r="AE12" s="24">
        <f t="shared" si="30"/>
        <v>0</v>
      </c>
      <c r="AF12" s="25">
        <f t="shared" si="31"/>
        <v>0</v>
      </c>
      <c r="AG12" s="28">
        <f t="shared" si="32"/>
        <v>45116</v>
      </c>
      <c r="AH12" s="24">
        <f t="shared" si="33"/>
        <v>0</v>
      </c>
      <c r="AI12" s="25">
        <f t="shared" si="34"/>
        <v>0</v>
      </c>
      <c r="AJ12" s="28">
        <f t="shared" si="35"/>
        <v>45116</v>
      </c>
      <c r="AK12" s="24">
        <f t="shared" si="36"/>
        <v>0</v>
      </c>
      <c r="AL12" s="25">
        <f t="shared" si="37"/>
        <v>0</v>
      </c>
      <c r="AM12" s="29">
        <f t="shared" si="38"/>
        <v>0</v>
      </c>
      <c r="AN12" s="28">
        <f t="shared" si="39"/>
        <v>45116</v>
      </c>
      <c r="AO12" s="373">
        <f t="shared" si="0"/>
        <v>0</v>
      </c>
      <c r="AP12" s="374">
        <f t="shared" si="1"/>
        <v>0</v>
      </c>
      <c r="AQ12" s="27">
        <f t="shared" si="2"/>
        <v>0</v>
      </c>
      <c r="AR12" s="25">
        <f t="shared" si="3"/>
        <v>0</v>
      </c>
      <c r="AS12" s="25">
        <f t="shared" si="4"/>
        <v>0</v>
      </c>
      <c r="AT12" s="25">
        <f t="shared" si="5"/>
        <v>0</v>
      </c>
      <c r="AU12" s="29">
        <f t="shared" si="85"/>
        <v>0</v>
      </c>
      <c r="AV12" s="27">
        <f t="shared" si="40"/>
        <v>0</v>
      </c>
      <c r="AW12" s="27">
        <f t="shared" si="41"/>
        <v>0</v>
      </c>
      <c r="AX12" s="27">
        <f t="shared" si="42"/>
        <v>0</v>
      </c>
      <c r="AY12" s="27">
        <f t="shared" si="43"/>
        <v>0</v>
      </c>
      <c r="AZ12" s="2" t="str">
        <f t="shared" si="44"/>
        <v/>
      </c>
      <c r="BA12" s="2" t="str">
        <f t="shared" si="45"/>
        <v/>
      </c>
      <c r="BB12" s="2" t="str">
        <f t="shared" si="46"/>
        <v/>
      </c>
      <c r="BC12" s="2" t="str">
        <f t="shared" si="47"/>
        <v/>
      </c>
      <c r="BD12" s="2" t="str">
        <f t="shared" si="86"/>
        <v/>
      </c>
      <c r="BE12" s="2" t="str">
        <f t="shared" si="48"/>
        <v/>
      </c>
      <c r="BF12" s="2" t="str">
        <f t="shared" si="49"/>
        <v/>
      </c>
      <c r="BG12" s="2" t="str">
        <f t="shared" si="50"/>
        <v/>
      </c>
      <c r="BH12" s="2">
        <f t="shared" si="51"/>
        <v>0</v>
      </c>
      <c r="BI12" s="298" t="str">
        <f t="shared" si="87"/>
        <v/>
      </c>
      <c r="BJ12" s="298" t="str">
        <f t="shared" si="52"/>
        <v/>
      </c>
      <c r="BK12" s="335" t="str">
        <f ca="1">IF(BM11&lt;&gt;"",IF(MIN(OFFSET($BI$3,BM11+2,0):BI376)=0,"",MIN(OFFSET($BI$3,BM11+2,0):BI376)),"")</f>
        <v/>
      </c>
      <c r="BL12" s="301" t="str">
        <f ca="1">IF(BN11&lt;&gt;"",IF(MIN(OFFSET($BJ$3,BN11+2,0):BJ375)=0,IF(BK12&lt;&gt;"",$BL$1,""),MIN(OFFSET($BJ$3,BN11+2,0):BJ375)),"")</f>
        <v/>
      </c>
      <c r="BM12" s="302" t="str">
        <f t="shared" ca="1" si="53"/>
        <v/>
      </c>
      <c r="BN12" s="302" t="str">
        <f t="shared" ca="1" si="54"/>
        <v/>
      </c>
      <c r="BO12" s="336" t="str">
        <f t="shared" ca="1" si="88"/>
        <v/>
      </c>
      <c r="BP12" s="337" t="str">
        <f t="shared" ca="1" si="91"/>
        <v/>
      </c>
      <c r="BQ12" s="4">
        <f t="shared" si="55"/>
        <v>45116</v>
      </c>
      <c r="BR12" s="112">
        <f t="shared" si="56"/>
        <v>0</v>
      </c>
      <c r="BS12" s="112">
        <f t="shared" si="57"/>
        <v>0</v>
      </c>
      <c r="BT12" s="112">
        <f t="shared" si="58"/>
        <v>0</v>
      </c>
      <c r="BU12" s="112">
        <f t="shared" si="59"/>
        <v>0</v>
      </c>
      <c r="BV12" s="112">
        <f t="shared" si="60"/>
        <v>0</v>
      </c>
      <c r="BX12" s="343" t="str">
        <f t="shared" ca="1" si="61"/>
        <v/>
      </c>
      <c r="BY12" s="343" t="str">
        <f t="shared" ca="1" si="62"/>
        <v/>
      </c>
      <c r="CA12" s="301" t="str">
        <f t="shared" ca="1" si="92"/>
        <v/>
      </c>
      <c r="CB12" s="301" t="str">
        <f t="shared" ca="1" si="89"/>
        <v/>
      </c>
      <c r="CC12" s="2" t="str">
        <f t="shared" ca="1" si="90"/>
        <v/>
      </c>
      <c r="CD12" s="2">
        <v>5</v>
      </c>
      <c r="CE12" s="2" t="str">
        <f t="shared" ca="1" si="63"/>
        <v/>
      </c>
      <c r="CF12" s="2" t="str">
        <f t="shared" ca="1" si="64"/>
        <v/>
      </c>
      <c r="CI12" s="4">
        <f t="shared" si="65"/>
        <v>45116</v>
      </c>
      <c r="CJ12" s="50">
        <f ca="1">IF($BH12=0,IF($CO12="",CJ11+R12,IF('283'!$K$251=1,VLOOKUP($CO12,PerStBal,2)+R12,IF('283'!$K$253=1,(VLOOKUP($CO12,PerPortion,2)*VLOOKUP($CO12,PerStBal,6))+R12,GL!BS12))),0)</f>
        <v>0</v>
      </c>
      <c r="CK12" s="425">
        <f ca="1">IF($BH12=0,IF($CO12="",CK11+T12,IF('283'!$K$251=1,IF(mname2&lt;&gt;"",VLOOKUP($CO12,PerStBal,3)+T12,0),IF('283'!$K$253=1,(VLOOKUP($CO12,PerPortion,3)*VLOOKUP($CO12,PerStBal,6))+T12,GL!BT12))),0)</f>
        <v>0</v>
      </c>
      <c r="CL12" s="425">
        <f ca="1">IF($BH12=0,IF($CO12="",CL11+V12,IF('283'!$K$251=1,IF(mname3&lt;&gt;"",VLOOKUP($CO12,PerStBal,4)+V12,0),IF('283'!$K$253=1,(VLOOKUP($CO12,PerPortion,4)*VLOOKUP($CO12,PerStBal,6))+V12,GL!BU12))),0)</f>
        <v>0</v>
      </c>
      <c r="CM12" s="425">
        <f ca="1">IF($BH12=0,IF($CO12="",CM11+X12,IF('283'!$K$251=1,IF(mname4&lt;&gt;"",VLOOKUP($CO12,PerStBal,5)+X12,0),IF('283'!$K$253=1,(VLOOKUP($CO12,PerPortion,5)*VLOOKUP($CO12,PerStBal,6))+X12,GL!BV12))),0)</f>
        <v>0</v>
      </c>
      <c r="CN12" s="50">
        <f t="shared" ca="1" si="66"/>
        <v>0</v>
      </c>
      <c r="CO12" s="4" t="str">
        <f t="shared" ca="1" si="67"/>
        <v/>
      </c>
      <c r="CP12" s="377">
        <f t="shared" si="7"/>
        <v>0</v>
      </c>
      <c r="CR12" s="382" t="str">
        <f t="shared" ca="1" si="8"/>
        <v/>
      </c>
      <c r="CS12" s="382" t="str">
        <f t="shared" ca="1" si="9"/>
        <v/>
      </c>
      <c r="CT12" s="302" t="str">
        <f t="shared" ca="1" si="10"/>
        <v/>
      </c>
      <c r="CU12" s="302" t="str">
        <f t="shared" ca="1" si="11"/>
        <v/>
      </c>
      <c r="CV12" s="50">
        <f ca="1">IF(CR12&lt;&gt;"",AVERAGE(OFFSET($BQ$4,$CT12,2):OFFSET($BQ$4,$CU12,2)),0)</f>
        <v>0</v>
      </c>
      <c r="CW12" s="50">
        <f ca="1">IF(CR12&lt;&gt;"",AVERAGE(OFFSET($BQ$4,$CT12,3):OFFSET($BQ$4,$CU12,3)),0)</f>
        <v>0</v>
      </c>
      <c r="CX12" s="50">
        <f ca="1">IF(CR12&lt;&gt;"",AVERAGE(OFFSET($BQ$4,$CT12,4):OFFSET($BQ$4,$CU12,4)),0)</f>
        <v>0</v>
      </c>
      <c r="CY12" s="50">
        <f ca="1">IF(CR12&lt;&gt;"",AVERAGE(OFFSET($BQ$4,$CT12,5):OFFSET($BQ$4,$CU12,5)),0)</f>
        <v>0</v>
      </c>
      <c r="CZ12" s="112">
        <f t="shared" ca="1" si="68"/>
        <v>0</v>
      </c>
      <c r="DA12" s="4" t="str">
        <f t="shared" ca="1" si="69"/>
        <v/>
      </c>
      <c r="DB12" s="383">
        <f t="shared" ca="1" si="12"/>
        <v>0</v>
      </c>
      <c r="DC12" s="383">
        <f t="shared" ca="1" si="13"/>
        <v>0</v>
      </c>
      <c r="DD12" s="383">
        <f t="shared" ca="1" si="14"/>
        <v>0</v>
      </c>
      <c r="DE12" s="383">
        <f t="shared" ca="1" si="15"/>
        <v>0</v>
      </c>
      <c r="DI12" s="4">
        <f t="shared" si="70"/>
        <v>45116</v>
      </c>
      <c r="DJ12" s="112">
        <f t="shared" ca="1" si="71"/>
        <v>0</v>
      </c>
      <c r="DK12" s="112">
        <f t="shared" si="72"/>
        <v>0</v>
      </c>
      <c r="DL12" s="4">
        <f t="shared" si="73"/>
        <v>45116</v>
      </c>
      <c r="DM12" s="112">
        <f t="shared" ca="1" si="74"/>
        <v>0</v>
      </c>
      <c r="DN12" s="112">
        <f t="shared" si="75"/>
        <v>0</v>
      </c>
      <c r="DO12" s="4">
        <f t="shared" si="76"/>
        <v>45116</v>
      </c>
      <c r="DP12" s="112">
        <f t="shared" ca="1" si="77"/>
        <v>0</v>
      </c>
      <c r="DQ12" s="112">
        <f t="shared" si="78"/>
        <v>0</v>
      </c>
      <c r="DR12" s="4">
        <f t="shared" si="79"/>
        <v>45116</v>
      </c>
      <c r="DS12" s="112">
        <f t="shared" ca="1" si="80"/>
        <v>0</v>
      </c>
      <c r="DT12" s="112">
        <f t="shared" si="81"/>
        <v>0</v>
      </c>
      <c r="DU12" s="4">
        <f t="shared" si="82"/>
        <v>45116</v>
      </c>
      <c r="DV12" s="112">
        <f t="shared" si="83"/>
        <v>0</v>
      </c>
      <c r="DW12" s="112">
        <f t="shared" si="84"/>
        <v>0</v>
      </c>
    </row>
    <row r="13" spans="2:127" x14ac:dyDescent="0.25">
      <c r="B13" s="39" t="str">
        <f>IF(LEFT('283'!B120,1)="R","Benefits Paid","")</f>
        <v/>
      </c>
      <c r="C13" s="3" t="str">
        <f>IF(B13&lt;&gt;"",IF('283'!C120&lt;&gt;"",'283'!C120,""),"")</f>
        <v/>
      </c>
      <c r="D13" s="40" t="str">
        <f>IF($B13&lt;&gt;"",IF('283'!D120&lt;&gt;"",'283'!D120,""),"")</f>
        <v/>
      </c>
      <c r="E13" s="40" t="str">
        <f>IF($B13&lt;&gt;"",IF('283'!E120&lt;&gt;"",'283'!E120,""),"")</f>
        <v/>
      </c>
      <c r="F13" s="40" t="str">
        <f>IF($B13&lt;&gt;"",IF('283'!F120&lt;&gt;"",'283'!F120,""),"")</f>
        <v/>
      </c>
      <c r="G13" s="41" t="str">
        <f>IF($B13&lt;&gt;"",IF('283'!G120&lt;&gt;"",'283'!G120,""),"")</f>
        <v/>
      </c>
      <c r="H13" s="23">
        <v>9</v>
      </c>
      <c r="I13" s="42" t="str">
        <f>IF(AND(LEFT('283'!B120,1)&lt;&gt;"R",LEFT('283'!B120,1)&lt;&gt;""),'283'!B120,"")</f>
        <v/>
      </c>
      <c r="J13" s="3" t="str">
        <f>IF(I13&lt;&gt;"",IF('283'!C120&lt;&gt;"",'283'!C120,""),"")</f>
        <v/>
      </c>
      <c r="K13" s="40" t="str">
        <f>IF($I13&lt;&gt;"",IF('283'!D120&lt;&gt;"",IF(LEFT($I13,1)="N",-'283'!D120,'283'!D120),""),"")</f>
        <v/>
      </c>
      <c r="L13" s="40" t="str">
        <f>IF($I13&lt;&gt;"",IF('283'!E120&lt;&gt;"",IF(LEFT($I13,1)="N",-'283'!E120,'283'!E120),""),"")</f>
        <v/>
      </c>
      <c r="M13" s="40" t="str">
        <f>IF($I13&lt;&gt;"",IF('283'!F120&lt;&gt;"",IF(LEFT($I13,1)="N",-'283'!F120,'283'!F120),""),"")</f>
        <v/>
      </c>
      <c r="N13" s="40" t="str">
        <f>IF($I13&lt;&gt;"",IF('283'!G120&lt;&gt;"",IF(LEFT($I13,1)="N",-'283'!G120,'283'!G120),""),"")</f>
        <v/>
      </c>
      <c r="O13" s="43"/>
      <c r="P13" s="38"/>
      <c r="Q13" s="4">
        <f t="shared" si="16"/>
        <v>45117</v>
      </c>
      <c r="R13" s="24">
        <f t="shared" si="17"/>
        <v>0</v>
      </c>
      <c r="S13" s="25">
        <f t="shared" si="18"/>
        <v>0</v>
      </c>
      <c r="T13" s="24">
        <f t="shared" si="19"/>
        <v>0</v>
      </c>
      <c r="U13" s="25">
        <f t="shared" si="20"/>
        <v>0</v>
      </c>
      <c r="V13" s="24">
        <f t="shared" si="21"/>
        <v>0</v>
      </c>
      <c r="W13" s="25">
        <f t="shared" si="22"/>
        <v>0</v>
      </c>
      <c r="X13" s="24">
        <f t="shared" si="23"/>
        <v>0</v>
      </c>
      <c r="Y13" s="26">
        <f t="shared" si="24"/>
        <v>0</v>
      </c>
      <c r="Z13" s="27">
        <f t="shared" si="25"/>
        <v>0</v>
      </c>
      <c r="AA13" s="28">
        <f t="shared" si="26"/>
        <v>45117</v>
      </c>
      <c r="AB13" s="24">
        <f t="shared" si="27"/>
        <v>0</v>
      </c>
      <c r="AC13" s="25">
        <f t="shared" si="28"/>
        <v>0</v>
      </c>
      <c r="AD13" s="28">
        <f t="shared" si="29"/>
        <v>45117</v>
      </c>
      <c r="AE13" s="24">
        <f t="shared" si="30"/>
        <v>0</v>
      </c>
      <c r="AF13" s="25">
        <f t="shared" si="31"/>
        <v>0</v>
      </c>
      <c r="AG13" s="28">
        <f t="shared" si="32"/>
        <v>45117</v>
      </c>
      <c r="AH13" s="24">
        <f t="shared" si="33"/>
        <v>0</v>
      </c>
      <c r="AI13" s="25">
        <f t="shared" si="34"/>
        <v>0</v>
      </c>
      <c r="AJ13" s="28">
        <f t="shared" si="35"/>
        <v>45117</v>
      </c>
      <c r="AK13" s="24">
        <f t="shared" si="36"/>
        <v>0</v>
      </c>
      <c r="AL13" s="25">
        <f t="shared" si="37"/>
        <v>0</v>
      </c>
      <c r="AM13" s="29">
        <f t="shared" si="38"/>
        <v>0</v>
      </c>
      <c r="AN13" s="28">
        <f t="shared" si="39"/>
        <v>45117</v>
      </c>
      <c r="AO13" s="373">
        <f t="shared" si="0"/>
        <v>0</v>
      </c>
      <c r="AP13" s="374">
        <f t="shared" si="1"/>
        <v>0</v>
      </c>
      <c r="AQ13" s="27">
        <f t="shared" si="2"/>
        <v>0</v>
      </c>
      <c r="AR13" s="25">
        <f t="shared" si="3"/>
        <v>0</v>
      </c>
      <c r="AS13" s="25">
        <f t="shared" si="4"/>
        <v>0</v>
      </c>
      <c r="AT13" s="25">
        <f t="shared" si="5"/>
        <v>0</v>
      </c>
      <c r="AU13" s="29">
        <f t="shared" si="85"/>
        <v>0</v>
      </c>
      <c r="AV13" s="27">
        <f t="shared" si="40"/>
        <v>0</v>
      </c>
      <c r="AW13" s="27">
        <f t="shared" si="41"/>
        <v>0</v>
      </c>
      <c r="AX13" s="27">
        <f t="shared" si="42"/>
        <v>0</v>
      </c>
      <c r="AY13" s="27">
        <f t="shared" si="43"/>
        <v>0</v>
      </c>
      <c r="AZ13" s="2" t="str">
        <f t="shared" si="44"/>
        <v/>
      </c>
      <c r="BA13" s="2" t="str">
        <f t="shared" si="45"/>
        <v/>
      </c>
      <c r="BB13" s="2" t="str">
        <f t="shared" si="46"/>
        <v/>
      </c>
      <c r="BC13" s="2" t="str">
        <f t="shared" si="47"/>
        <v/>
      </c>
      <c r="BD13" s="2" t="str">
        <f t="shared" si="86"/>
        <v/>
      </c>
      <c r="BE13" s="2" t="str">
        <f t="shared" si="48"/>
        <v/>
      </c>
      <c r="BF13" s="2" t="str">
        <f t="shared" si="49"/>
        <v/>
      </c>
      <c r="BG13" s="2" t="str">
        <f t="shared" si="50"/>
        <v/>
      </c>
      <c r="BH13" s="2">
        <f t="shared" si="51"/>
        <v>0</v>
      </c>
      <c r="BI13" s="298" t="str">
        <f t="shared" si="87"/>
        <v/>
      </c>
      <c r="BJ13" s="298" t="str">
        <f t="shared" si="52"/>
        <v/>
      </c>
      <c r="BK13" s="335" t="str">
        <f ca="1">IF(BM12&lt;&gt;"",IF(MIN(OFFSET($BI$3,BM12+2,0):BI377)=0,"",MIN(OFFSET($BI$3,BM12+2,0):BI377)),"")</f>
        <v/>
      </c>
      <c r="BL13" s="301" t="str">
        <f ca="1">IF(BN12&lt;&gt;"",IF(MIN(OFFSET($BJ$3,BN12+2,0):BJ376)=0,IF(BK13&lt;&gt;"",$BL$1,""),MIN(OFFSET($BJ$3,BN12+2,0):BJ376)),"")</f>
        <v/>
      </c>
      <c r="BM13" s="302" t="str">
        <f t="shared" ca="1" si="53"/>
        <v/>
      </c>
      <c r="BN13" s="302" t="str">
        <f t="shared" ca="1" si="54"/>
        <v/>
      </c>
      <c r="BO13" s="336" t="str">
        <f t="shared" ca="1" si="88"/>
        <v/>
      </c>
      <c r="BP13" s="337" t="str">
        <f t="shared" ca="1" si="91"/>
        <v/>
      </c>
      <c r="BQ13" s="4">
        <f t="shared" si="55"/>
        <v>45117</v>
      </c>
      <c r="BR13" s="112">
        <f t="shared" si="56"/>
        <v>0</v>
      </c>
      <c r="BS13" s="112">
        <f t="shared" si="57"/>
        <v>0</v>
      </c>
      <c r="BT13" s="112">
        <f t="shared" si="58"/>
        <v>0</v>
      </c>
      <c r="BU13" s="112">
        <f t="shared" si="59"/>
        <v>0</v>
      </c>
      <c r="BV13" s="112">
        <f t="shared" si="60"/>
        <v>0</v>
      </c>
      <c r="BX13" s="343" t="str">
        <f t="shared" ca="1" si="61"/>
        <v/>
      </c>
      <c r="BY13" s="343" t="str">
        <f t="shared" ca="1" si="62"/>
        <v/>
      </c>
      <c r="CA13" s="301" t="str">
        <f t="shared" ca="1" si="92"/>
        <v/>
      </c>
      <c r="CB13" s="301" t="str">
        <f t="shared" ca="1" si="89"/>
        <v/>
      </c>
      <c r="CC13" s="2" t="str">
        <f t="shared" ca="1" si="90"/>
        <v/>
      </c>
      <c r="CD13" s="2">
        <v>5</v>
      </c>
      <c r="CE13" s="2" t="str">
        <f t="shared" ca="1" si="63"/>
        <v/>
      </c>
      <c r="CF13" s="2" t="str">
        <f t="shared" ca="1" si="64"/>
        <v/>
      </c>
      <c r="CI13" s="4">
        <f t="shared" si="65"/>
        <v>45117</v>
      </c>
      <c r="CJ13" s="50">
        <f ca="1">IF($BH13=0,IF($CO13="",CJ12+R13,IF('283'!$K$251=1,VLOOKUP($CO13,PerStBal,2)+R13,IF('283'!$K$253=1,(VLOOKUP($CO13,PerPortion,2)*VLOOKUP($CO13,PerStBal,6))+R13,GL!BS13))),0)</f>
        <v>0</v>
      </c>
      <c r="CK13" s="425">
        <f ca="1">IF($BH13=0,IF($CO13="",CK12+T13,IF('283'!$K$251=1,IF(mname2&lt;&gt;"",VLOOKUP($CO13,PerStBal,3)+T13,0),IF('283'!$K$253=1,(VLOOKUP($CO13,PerPortion,3)*VLOOKUP($CO13,PerStBal,6))+T13,GL!BT13))),0)</f>
        <v>0</v>
      </c>
      <c r="CL13" s="425">
        <f ca="1">IF($BH13=0,IF($CO13="",CL12+V13,IF('283'!$K$251=1,IF(mname3&lt;&gt;"",VLOOKUP($CO13,PerStBal,4)+V13,0),IF('283'!$K$253=1,(VLOOKUP($CO13,PerPortion,4)*VLOOKUP($CO13,PerStBal,6))+V13,GL!BU13))),0)</f>
        <v>0</v>
      </c>
      <c r="CM13" s="425">
        <f ca="1">IF($BH13=0,IF($CO13="",CM12+X13,IF('283'!$K$251=1,IF(mname4&lt;&gt;"",VLOOKUP($CO13,PerStBal,5)+X13,0),IF('283'!$K$253=1,(VLOOKUP($CO13,PerPortion,5)*VLOOKUP($CO13,PerStBal,6))+X13,GL!BV13))),0)</f>
        <v>0</v>
      </c>
      <c r="CN13" s="50">
        <f t="shared" ca="1" si="66"/>
        <v>0</v>
      </c>
      <c r="CO13" s="4" t="str">
        <f t="shared" ca="1" si="67"/>
        <v/>
      </c>
      <c r="CP13" s="377">
        <f t="shared" si="7"/>
        <v>0</v>
      </c>
      <c r="CR13" s="4"/>
      <c r="CS13" s="4"/>
      <c r="CT13" s="302"/>
      <c r="CU13" s="302"/>
      <c r="CV13" s="67"/>
      <c r="CW13" s="67"/>
      <c r="CX13" s="67"/>
      <c r="CY13" s="67"/>
      <c r="CZ13" s="113"/>
      <c r="DA13" s="113"/>
      <c r="DB13" s="383"/>
      <c r="DC13" s="383"/>
      <c r="DD13" s="383"/>
      <c r="DE13" s="383"/>
      <c r="DI13" s="4">
        <f t="shared" si="70"/>
        <v>45117</v>
      </c>
      <c r="DJ13" s="112">
        <f t="shared" ca="1" si="71"/>
        <v>0</v>
      </c>
      <c r="DK13" s="112">
        <f t="shared" si="72"/>
        <v>0</v>
      </c>
      <c r="DL13" s="4">
        <f t="shared" si="73"/>
        <v>45117</v>
      </c>
      <c r="DM13" s="112">
        <f t="shared" ca="1" si="74"/>
        <v>0</v>
      </c>
      <c r="DN13" s="112">
        <f t="shared" si="75"/>
        <v>0</v>
      </c>
      <c r="DO13" s="4">
        <f t="shared" si="76"/>
        <v>45117</v>
      </c>
      <c r="DP13" s="112">
        <f t="shared" ca="1" si="77"/>
        <v>0</v>
      </c>
      <c r="DQ13" s="112">
        <f t="shared" si="78"/>
        <v>0</v>
      </c>
      <c r="DR13" s="4">
        <f t="shared" si="79"/>
        <v>45117</v>
      </c>
      <c r="DS13" s="112">
        <f t="shared" ca="1" si="80"/>
        <v>0</v>
      </c>
      <c r="DT13" s="112">
        <f t="shared" si="81"/>
        <v>0</v>
      </c>
      <c r="DU13" s="4">
        <f t="shared" si="82"/>
        <v>45117</v>
      </c>
      <c r="DV13" s="112">
        <f t="shared" si="83"/>
        <v>0</v>
      </c>
      <c r="DW13" s="112">
        <f t="shared" si="84"/>
        <v>0</v>
      </c>
    </row>
    <row r="14" spans="2:127" x14ac:dyDescent="0.25">
      <c r="B14" s="39" t="str">
        <f>IF(LEFT('283'!B121,1)="R","Benefits Paid","")</f>
        <v/>
      </c>
      <c r="C14" s="3" t="str">
        <f>IF(B14&lt;&gt;"",IF('283'!C121&lt;&gt;"",'283'!C121,""),"")</f>
        <v/>
      </c>
      <c r="D14" s="40" t="str">
        <f>IF($B14&lt;&gt;"",IF('283'!D121&lt;&gt;"",'283'!D121,""),"")</f>
        <v/>
      </c>
      <c r="E14" s="40" t="str">
        <f>IF($B14&lt;&gt;"",IF('283'!E121&lt;&gt;"",'283'!E121,""),"")</f>
        <v/>
      </c>
      <c r="F14" s="40" t="str">
        <f>IF($B14&lt;&gt;"",IF('283'!F121&lt;&gt;"",'283'!F121,""),"")</f>
        <v/>
      </c>
      <c r="G14" s="41" t="str">
        <f>IF($B14&lt;&gt;"",IF('283'!G121&lt;&gt;"",'283'!G121,""),"")</f>
        <v/>
      </c>
      <c r="H14" s="23">
        <v>10</v>
      </c>
      <c r="I14" s="42" t="str">
        <f>IF(AND(LEFT('283'!B121,1)&lt;&gt;"R",LEFT('283'!B121,1)&lt;&gt;""),'283'!B121,"")</f>
        <v/>
      </c>
      <c r="J14" s="3" t="str">
        <f>IF(I14&lt;&gt;"",IF('283'!C121&lt;&gt;"",'283'!C121,""),"")</f>
        <v/>
      </c>
      <c r="K14" s="40" t="str">
        <f>IF($I14&lt;&gt;"",IF('283'!D121&lt;&gt;"",IF(LEFT($I14,1)="N",-'283'!D121,'283'!D121),""),"")</f>
        <v/>
      </c>
      <c r="L14" s="40" t="str">
        <f>IF($I14&lt;&gt;"",IF('283'!E121&lt;&gt;"",IF(LEFT($I14,1)="N",-'283'!E121,'283'!E121),""),"")</f>
        <v/>
      </c>
      <c r="M14" s="40" t="str">
        <f>IF($I14&lt;&gt;"",IF('283'!F121&lt;&gt;"",IF(LEFT($I14,1)="N",-'283'!F121,'283'!F121),""),"")</f>
        <v/>
      </c>
      <c r="N14" s="40" t="str">
        <f>IF($I14&lt;&gt;"",IF('283'!G121&lt;&gt;"",IF(LEFT($I14,1)="N",-'283'!G121,'283'!G121),""),"")</f>
        <v/>
      </c>
      <c r="O14" s="43"/>
      <c r="P14" s="38"/>
      <c r="Q14" s="4">
        <f t="shared" si="16"/>
        <v>45118</v>
      </c>
      <c r="R14" s="24">
        <f t="shared" si="17"/>
        <v>0</v>
      </c>
      <c r="S14" s="25">
        <f t="shared" si="18"/>
        <v>0</v>
      </c>
      <c r="T14" s="24">
        <f t="shared" si="19"/>
        <v>0</v>
      </c>
      <c r="U14" s="25">
        <f t="shared" si="20"/>
        <v>0</v>
      </c>
      <c r="V14" s="24">
        <f t="shared" si="21"/>
        <v>0</v>
      </c>
      <c r="W14" s="25">
        <f t="shared" si="22"/>
        <v>0</v>
      </c>
      <c r="X14" s="24">
        <f t="shared" si="23"/>
        <v>0</v>
      </c>
      <c r="Y14" s="26">
        <f t="shared" si="24"/>
        <v>0</v>
      </c>
      <c r="Z14" s="27">
        <f t="shared" si="25"/>
        <v>0</v>
      </c>
      <c r="AA14" s="28">
        <f t="shared" si="26"/>
        <v>45118</v>
      </c>
      <c r="AB14" s="24">
        <f t="shared" si="27"/>
        <v>0</v>
      </c>
      <c r="AC14" s="25">
        <f t="shared" si="28"/>
        <v>0</v>
      </c>
      <c r="AD14" s="28">
        <f t="shared" si="29"/>
        <v>45118</v>
      </c>
      <c r="AE14" s="24">
        <f t="shared" si="30"/>
        <v>0</v>
      </c>
      <c r="AF14" s="25">
        <f t="shared" si="31"/>
        <v>0</v>
      </c>
      <c r="AG14" s="28">
        <f t="shared" si="32"/>
        <v>45118</v>
      </c>
      <c r="AH14" s="24">
        <f t="shared" si="33"/>
        <v>0</v>
      </c>
      <c r="AI14" s="25">
        <f t="shared" si="34"/>
        <v>0</v>
      </c>
      <c r="AJ14" s="28">
        <f t="shared" si="35"/>
        <v>45118</v>
      </c>
      <c r="AK14" s="24">
        <f t="shared" si="36"/>
        <v>0</v>
      </c>
      <c r="AL14" s="25">
        <f t="shared" si="37"/>
        <v>0</v>
      </c>
      <c r="AM14" s="29">
        <f t="shared" si="38"/>
        <v>0</v>
      </c>
      <c r="AN14" s="28">
        <f t="shared" si="39"/>
        <v>45118</v>
      </c>
      <c r="AO14" s="373">
        <f t="shared" si="0"/>
        <v>0</v>
      </c>
      <c r="AP14" s="374">
        <f t="shared" si="1"/>
        <v>0</v>
      </c>
      <c r="AQ14" s="27">
        <f t="shared" si="2"/>
        <v>0</v>
      </c>
      <c r="AR14" s="25">
        <f t="shared" si="3"/>
        <v>0</v>
      </c>
      <c r="AS14" s="25">
        <f t="shared" si="4"/>
        <v>0</v>
      </c>
      <c r="AT14" s="25">
        <f t="shared" si="5"/>
        <v>0</v>
      </c>
      <c r="AU14" s="29">
        <f t="shared" si="85"/>
        <v>0</v>
      </c>
      <c r="AV14" s="27">
        <f t="shared" si="40"/>
        <v>0</v>
      </c>
      <c r="AW14" s="27">
        <f t="shared" si="41"/>
        <v>0</v>
      </c>
      <c r="AX14" s="27">
        <f t="shared" si="42"/>
        <v>0</v>
      </c>
      <c r="AY14" s="27">
        <f t="shared" si="43"/>
        <v>0</v>
      </c>
      <c r="AZ14" s="2" t="str">
        <f t="shared" si="44"/>
        <v/>
      </c>
      <c r="BA14" s="2" t="str">
        <f t="shared" si="45"/>
        <v/>
      </c>
      <c r="BB14" s="2" t="str">
        <f t="shared" si="46"/>
        <v/>
      </c>
      <c r="BC14" s="2" t="str">
        <f t="shared" si="47"/>
        <v/>
      </c>
      <c r="BD14" s="2" t="str">
        <f t="shared" si="86"/>
        <v/>
      </c>
      <c r="BE14" s="2" t="str">
        <f t="shared" si="48"/>
        <v/>
      </c>
      <c r="BF14" s="2" t="str">
        <f t="shared" si="49"/>
        <v/>
      </c>
      <c r="BG14" s="2" t="str">
        <f t="shared" si="50"/>
        <v/>
      </c>
      <c r="BH14" s="2">
        <f t="shared" si="51"/>
        <v>0</v>
      </c>
      <c r="BI14" s="298" t="str">
        <f t="shared" si="87"/>
        <v/>
      </c>
      <c r="BJ14" s="298" t="str">
        <f t="shared" si="52"/>
        <v/>
      </c>
      <c r="BK14" s="335" t="str">
        <f ca="1">IF(BM13&lt;&gt;"",IF(MIN(OFFSET($BI$3,BM13+2,0):BI378)=0,"",MIN(OFFSET($BI$3,BM13+2,0):BI378)),"")</f>
        <v/>
      </c>
      <c r="BL14" s="301" t="str">
        <f ca="1">IF(BN13&lt;&gt;"",IF(MIN(OFFSET($BJ$3,BN13+2,0):BJ377)=0,IF(BK14&lt;&gt;"",$BL$1,""),MIN(OFFSET($BJ$3,BN13+2,0):BJ377)),"")</f>
        <v/>
      </c>
      <c r="BM14" s="302" t="str">
        <f t="shared" ca="1" si="53"/>
        <v/>
      </c>
      <c r="BN14" s="302" t="str">
        <f t="shared" ca="1" si="54"/>
        <v/>
      </c>
      <c r="BO14" s="336" t="str">
        <f t="shared" ca="1" si="88"/>
        <v/>
      </c>
      <c r="BP14" s="337" t="str">
        <f t="shared" ca="1" si="91"/>
        <v/>
      </c>
      <c r="BQ14" s="4">
        <f t="shared" si="55"/>
        <v>45118</v>
      </c>
      <c r="BR14" s="112">
        <f t="shared" si="56"/>
        <v>0</v>
      </c>
      <c r="BS14" s="112">
        <f t="shared" si="57"/>
        <v>0</v>
      </c>
      <c r="BT14" s="112">
        <f t="shared" si="58"/>
        <v>0</v>
      </c>
      <c r="BU14" s="112">
        <f t="shared" si="59"/>
        <v>0</v>
      </c>
      <c r="BV14" s="112">
        <f t="shared" si="60"/>
        <v>0</v>
      </c>
      <c r="BX14" s="343" t="str">
        <f t="shared" ca="1" si="61"/>
        <v/>
      </c>
      <c r="BY14" s="343" t="str">
        <f t="shared" ca="1" si="62"/>
        <v/>
      </c>
      <c r="CA14" s="301" t="str">
        <f t="shared" ca="1" si="92"/>
        <v/>
      </c>
      <c r="CB14" s="301" t="str">
        <f t="shared" ca="1" si="89"/>
        <v/>
      </c>
      <c r="CC14" s="2" t="str">
        <f t="shared" ca="1" si="90"/>
        <v/>
      </c>
      <c r="CD14" s="2">
        <v>6</v>
      </c>
      <c r="CE14" s="2" t="str">
        <f t="shared" ca="1" si="63"/>
        <v/>
      </c>
      <c r="CF14" s="2" t="str">
        <f t="shared" ca="1" si="64"/>
        <v/>
      </c>
      <c r="CI14" s="4">
        <f t="shared" si="65"/>
        <v>45118</v>
      </c>
      <c r="CJ14" s="50">
        <f ca="1">IF($BH14=0,IF($CO14="",CJ13+R14,IF('283'!$K$251=1,VLOOKUP($CO14,PerStBal,2)+R14,IF('283'!$K$253=1,(VLOOKUP($CO14,PerPortion,2)*VLOOKUP($CO14,PerStBal,6))+R14,GL!BS14))),0)</f>
        <v>0</v>
      </c>
      <c r="CK14" s="425">
        <f ca="1">IF($BH14=0,IF($CO14="",CK13+T14,IF('283'!$K$251=1,IF(mname2&lt;&gt;"",VLOOKUP($CO14,PerStBal,3)+T14,0),IF('283'!$K$253=1,(VLOOKUP($CO14,PerPortion,3)*VLOOKUP($CO14,PerStBal,6))+T14,GL!BT14))),0)</f>
        <v>0</v>
      </c>
      <c r="CL14" s="425">
        <f ca="1">IF($BH14=0,IF($CO14="",CL13+V14,IF('283'!$K$251=1,IF(mname3&lt;&gt;"",VLOOKUP($CO14,PerStBal,4)+V14,0),IF('283'!$K$253=1,(VLOOKUP($CO14,PerPortion,4)*VLOOKUP($CO14,PerStBal,6))+V14,GL!BU14))),0)</f>
        <v>0</v>
      </c>
      <c r="CM14" s="425">
        <f ca="1">IF($BH14=0,IF($CO14="",CM13+X14,IF('283'!$K$251=1,IF(mname4&lt;&gt;"",VLOOKUP($CO14,PerStBal,5)+X14,0),IF('283'!$K$253=1,(VLOOKUP($CO14,PerPortion,5)*VLOOKUP($CO14,PerStBal,6))+X14,GL!BV14))),0)</f>
        <v>0</v>
      </c>
      <c r="CN14" s="50">
        <f t="shared" ca="1" si="66"/>
        <v>0</v>
      </c>
      <c r="CO14" s="4" t="str">
        <f t="shared" ca="1" si="67"/>
        <v/>
      </c>
      <c r="CP14" s="377">
        <f t="shared" si="7"/>
        <v>0</v>
      </c>
      <c r="CR14" s="4"/>
      <c r="CS14" s="4"/>
      <c r="CT14" s="302"/>
      <c r="CU14" s="302"/>
      <c r="CV14" s="67"/>
      <c r="CW14" s="67"/>
      <c r="CX14" s="67"/>
      <c r="CY14" s="67"/>
      <c r="CZ14" s="113"/>
      <c r="DA14" s="113"/>
      <c r="DB14" s="383"/>
      <c r="DC14" s="383"/>
      <c r="DD14" s="383"/>
      <c r="DE14" s="383"/>
      <c r="DI14" s="4">
        <f t="shared" si="70"/>
        <v>45118</v>
      </c>
      <c r="DJ14" s="112">
        <f t="shared" ca="1" si="71"/>
        <v>0</v>
      </c>
      <c r="DK14" s="112">
        <f t="shared" si="72"/>
        <v>0</v>
      </c>
      <c r="DL14" s="4">
        <f t="shared" si="73"/>
        <v>45118</v>
      </c>
      <c r="DM14" s="112">
        <f t="shared" ca="1" si="74"/>
        <v>0</v>
      </c>
      <c r="DN14" s="112">
        <f t="shared" si="75"/>
        <v>0</v>
      </c>
      <c r="DO14" s="4">
        <f t="shared" si="76"/>
        <v>45118</v>
      </c>
      <c r="DP14" s="112">
        <f t="shared" ca="1" si="77"/>
        <v>0</v>
      </c>
      <c r="DQ14" s="112">
        <f t="shared" si="78"/>
        <v>0</v>
      </c>
      <c r="DR14" s="4">
        <f t="shared" si="79"/>
        <v>45118</v>
      </c>
      <c r="DS14" s="112">
        <f t="shared" ca="1" si="80"/>
        <v>0</v>
      </c>
      <c r="DT14" s="112">
        <f t="shared" si="81"/>
        <v>0</v>
      </c>
      <c r="DU14" s="4">
        <f t="shared" si="82"/>
        <v>45118</v>
      </c>
      <c r="DV14" s="112">
        <f t="shared" si="83"/>
        <v>0</v>
      </c>
      <c r="DW14" s="112">
        <f t="shared" si="84"/>
        <v>0</v>
      </c>
    </row>
    <row r="15" spans="2:127" x14ac:dyDescent="0.25">
      <c r="B15" s="39" t="str">
        <f>IF(LEFT('283'!B122,1)="R","Benefits Paid","")</f>
        <v/>
      </c>
      <c r="C15" s="3" t="str">
        <f>IF(B15&lt;&gt;"",IF('283'!C122&lt;&gt;"",'283'!C122,""),"")</f>
        <v/>
      </c>
      <c r="D15" s="40" t="str">
        <f>IF($B15&lt;&gt;"",IF('283'!D122&lt;&gt;"",'283'!D122,""),"")</f>
        <v/>
      </c>
      <c r="E15" s="40" t="str">
        <f>IF($B15&lt;&gt;"",IF('283'!E122&lt;&gt;"",'283'!E122,""),"")</f>
        <v/>
      </c>
      <c r="F15" s="40" t="str">
        <f>IF($B15&lt;&gt;"",IF('283'!F122&lt;&gt;"",'283'!F122,""),"")</f>
        <v/>
      </c>
      <c r="G15" s="41" t="str">
        <f>IF($B15&lt;&gt;"",IF('283'!G122&lt;&gt;"",'283'!G122,""),"")</f>
        <v/>
      </c>
      <c r="H15" s="23">
        <v>11</v>
      </c>
      <c r="I15" s="42" t="str">
        <f>IF(AND(LEFT('283'!B122,1)&lt;&gt;"R",LEFT('283'!B122,1)&lt;&gt;""),'283'!B122,"")</f>
        <v/>
      </c>
      <c r="J15" s="3" t="str">
        <f>IF(I15&lt;&gt;"",IF('283'!C122&lt;&gt;"",'283'!C122,""),"")</f>
        <v/>
      </c>
      <c r="K15" s="40" t="str">
        <f>IF($I15&lt;&gt;"",IF('283'!D122&lt;&gt;"",IF(LEFT($I15,1)="N",-'283'!D122,'283'!D122),""),"")</f>
        <v/>
      </c>
      <c r="L15" s="40" t="str">
        <f>IF($I15&lt;&gt;"",IF('283'!E122&lt;&gt;"",IF(LEFT($I15,1)="N",-'283'!E122,'283'!E122),""),"")</f>
        <v/>
      </c>
      <c r="M15" s="40" t="str">
        <f>IF($I15&lt;&gt;"",IF('283'!F122&lt;&gt;"",IF(LEFT($I15,1)="N",-'283'!F122,'283'!F122),""),"")</f>
        <v/>
      </c>
      <c r="N15" s="40" t="str">
        <f>IF($I15&lt;&gt;"",IF('283'!G122&lt;&gt;"",IF(LEFT($I15,1)="N",-'283'!G122,'283'!G122),""),"")</f>
        <v/>
      </c>
      <c r="O15" s="43"/>
      <c r="P15" s="38"/>
      <c r="Q15" s="4">
        <f t="shared" si="16"/>
        <v>45119</v>
      </c>
      <c r="R15" s="24">
        <f t="shared" si="17"/>
        <v>0</v>
      </c>
      <c r="S15" s="25">
        <f t="shared" si="18"/>
        <v>0</v>
      </c>
      <c r="T15" s="24">
        <f t="shared" si="19"/>
        <v>0</v>
      </c>
      <c r="U15" s="25">
        <f t="shared" si="20"/>
        <v>0</v>
      </c>
      <c r="V15" s="24">
        <f t="shared" si="21"/>
        <v>0</v>
      </c>
      <c r="W15" s="25">
        <f t="shared" si="22"/>
        <v>0</v>
      </c>
      <c r="X15" s="24">
        <f t="shared" si="23"/>
        <v>0</v>
      </c>
      <c r="Y15" s="26">
        <f t="shared" si="24"/>
        <v>0</v>
      </c>
      <c r="Z15" s="27">
        <f t="shared" si="25"/>
        <v>0</v>
      </c>
      <c r="AA15" s="28">
        <f t="shared" si="26"/>
        <v>45119</v>
      </c>
      <c r="AB15" s="24">
        <f t="shared" si="27"/>
        <v>0</v>
      </c>
      <c r="AC15" s="25">
        <f t="shared" si="28"/>
        <v>0</v>
      </c>
      <c r="AD15" s="28">
        <f t="shared" si="29"/>
        <v>45119</v>
      </c>
      <c r="AE15" s="24">
        <f t="shared" si="30"/>
        <v>0</v>
      </c>
      <c r="AF15" s="25">
        <f t="shared" si="31"/>
        <v>0</v>
      </c>
      <c r="AG15" s="28">
        <f t="shared" si="32"/>
        <v>45119</v>
      </c>
      <c r="AH15" s="24">
        <f t="shared" si="33"/>
        <v>0</v>
      </c>
      <c r="AI15" s="25">
        <f t="shared" si="34"/>
        <v>0</v>
      </c>
      <c r="AJ15" s="28">
        <f t="shared" si="35"/>
        <v>45119</v>
      </c>
      <c r="AK15" s="24">
        <f t="shared" si="36"/>
        <v>0</v>
      </c>
      <c r="AL15" s="25">
        <f t="shared" si="37"/>
        <v>0</v>
      </c>
      <c r="AM15" s="29">
        <f t="shared" si="38"/>
        <v>0</v>
      </c>
      <c r="AN15" s="28">
        <f t="shared" si="39"/>
        <v>45119</v>
      </c>
      <c r="AO15" s="373">
        <f t="shared" si="0"/>
        <v>0</v>
      </c>
      <c r="AP15" s="374">
        <f t="shared" si="1"/>
        <v>0</v>
      </c>
      <c r="AQ15" s="27">
        <f t="shared" si="2"/>
        <v>0</v>
      </c>
      <c r="AR15" s="25">
        <f t="shared" si="3"/>
        <v>0</v>
      </c>
      <c r="AS15" s="25">
        <f t="shared" si="4"/>
        <v>0</v>
      </c>
      <c r="AT15" s="25">
        <f t="shared" si="5"/>
        <v>0</v>
      </c>
      <c r="AU15" s="29">
        <f t="shared" si="85"/>
        <v>0</v>
      </c>
      <c r="AV15" s="27">
        <f t="shared" si="40"/>
        <v>0</v>
      </c>
      <c r="AW15" s="27">
        <f t="shared" si="41"/>
        <v>0</v>
      </c>
      <c r="AX15" s="27">
        <f t="shared" si="42"/>
        <v>0</v>
      </c>
      <c r="AY15" s="27">
        <f t="shared" si="43"/>
        <v>0</v>
      </c>
      <c r="AZ15" s="2" t="str">
        <f t="shared" si="44"/>
        <v/>
      </c>
      <c r="BA15" s="2" t="str">
        <f t="shared" si="45"/>
        <v/>
      </c>
      <c r="BB15" s="2" t="str">
        <f t="shared" si="46"/>
        <v/>
      </c>
      <c r="BC15" s="2" t="str">
        <f t="shared" si="47"/>
        <v/>
      </c>
      <c r="BD15" s="2" t="str">
        <f t="shared" si="86"/>
        <v/>
      </c>
      <c r="BE15" s="2" t="str">
        <f t="shared" si="48"/>
        <v/>
      </c>
      <c r="BF15" s="2" t="str">
        <f t="shared" si="49"/>
        <v/>
      </c>
      <c r="BG15" s="2" t="str">
        <f t="shared" si="50"/>
        <v/>
      </c>
      <c r="BH15" s="2">
        <f t="shared" si="51"/>
        <v>0</v>
      </c>
      <c r="BI15" s="298" t="str">
        <f t="shared" si="87"/>
        <v/>
      </c>
      <c r="BJ15" s="298" t="str">
        <f t="shared" si="52"/>
        <v/>
      </c>
      <c r="BK15" s="335" t="str">
        <f ca="1">IF(BM14&lt;&gt;"",IF(MIN(OFFSET($BI$3,BM14+2,0):BI379)=0,"",MIN(OFFSET($BI$3,BM14+2,0):BI379)),"")</f>
        <v/>
      </c>
      <c r="BL15" s="301" t="str">
        <f ca="1">IF(BN14&lt;&gt;"",IF(MIN(OFFSET($BJ$3,BN14+2,0):BJ378)=0,IF(BK15&lt;&gt;"",$BL$1,""),MIN(OFFSET($BJ$3,BN14+2,0):BJ378)),"")</f>
        <v/>
      </c>
      <c r="BM15" s="302" t="str">
        <f t="shared" ca="1" si="53"/>
        <v/>
      </c>
      <c r="BN15" s="302" t="str">
        <f t="shared" ca="1" si="54"/>
        <v/>
      </c>
      <c r="BO15" s="336" t="str">
        <f t="shared" ca="1" si="88"/>
        <v/>
      </c>
      <c r="BP15" s="337" t="str">
        <f t="shared" ca="1" si="91"/>
        <v/>
      </c>
      <c r="BQ15" s="4">
        <f t="shared" si="55"/>
        <v>45119</v>
      </c>
      <c r="BR15" s="112">
        <f t="shared" si="56"/>
        <v>0</v>
      </c>
      <c r="BS15" s="112">
        <f t="shared" si="57"/>
        <v>0</v>
      </c>
      <c r="BT15" s="112">
        <f t="shared" si="58"/>
        <v>0</v>
      </c>
      <c r="BU15" s="112">
        <f t="shared" si="59"/>
        <v>0</v>
      </c>
      <c r="BV15" s="112">
        <f t="shared" si="60"/>
        <v>0</v>
      </c>
      <c r="BX15" s="343" t="str">
        <f t="shared" ca="1" si="61"/>
        <v/>
      </c>
      <c r="BY15" s="343" t="str">
        <f t="shared" ca="1" si="62"/>
        <v/>
      </c>
      <c r="CA15" s="301" t="str">
        <f t="shared" ca="1" si="92"/>
        <v/>
      </c>
      <c r="CB15" s="301" t="str">
        <f t="shared" ca="1" si="89"/>
        <v/>
      </c>
      <c r="CC15" s="2" t="str">
        <f t="shared" ca="1" si="90"/>
        <v/>
      </c>
      <c r="CD15" s="2">
        <v>6</v>
      </c>
      <c r="CE15" s="2" t="str">
        <f t="shared" ca="1" si="63"/>
        <v/>
      </c>
      <c r="CF15" s="2" t="str">
        <f t="shared" ca="1" si="64"/>
        <v/>
      </c>
      <c r="CI15" s="4">
        <f t="shared" si="65"/>
        <v>45119</v>
      </c>
      <c r="CJ15" s="50">
        <f ca="1">IF($BH15=0,IF($CO15="",CJ14+R15,IF('283'!$K$251=1,VLOOKUP($CO15,PerStBal,2)+R15,IF('283'!$K$253=1,(VLOOKUP($CO15,PerPortion,2)*VLOOKUP($CO15,PerStBal,6))+R15,GL!BS15))),0)</f>
        <v>0</v>
      </c>
      <c r="CK15" s="425">
        <f ca="1">IF($BH15=0,IF($CO15="",CK14+T15,IF('283'!$K$251=1,IF(mname2&lt;&gt;"",VLOOKUP($CO15,PerStBal,3)+T15,0),IF('283'!$K$253=1,(VLOOKUP($CO15,PerPortion,3)*VLOOKUP($CO15,PerStBal,6))+T15,GL!BT15))),0)</f>
        <v>0</v>
      </c>
      <c r="CL15" s="425">
        <f ca="1">IF($BH15=0,IF($CO15="",CL14+V15,IF('283'!$K$251=1,IF(mname3&lt;&gt;"",VLOOKUP($CO15,PerStBal,4)+V15,0),IF('283'!$K$253=1,(VLOOKUP($CO15,PerPortion,4)*VLOOKUP($CO15,PerStBal,6))+V15,GL!BU15))),0)</f>
        <v>0</v>
      </c>
      <c r="CM15" s="425">
        <f ca="1">IF($BH15=0,IF($CO15="",CM14+X15,IF('283'!$K$251=1,IF(mname4&lt;&gt;"",VLOOKUP($CO15,PerStBal,5)+X15,0),IF('283'!$K$253=1,(VLOOKUP($CO15,PerPortion,5)*VLOOKUP($CO15,PerStBal,6))+X15,GL!BV15))),0)</f>
        <v>0</v>
      </c>
      <c r="CN15" s="50">
        <f t="shared" ca="1" si="66"/>
        <v>0</v>
      </c>
      <c r="CO15" s="4" t="str">
        <f t="shared" ca="1" si="67"/>
        <v/>
      </c>
      <c r="CP15" s="377">
        <f t="shared" si="7"/>
        <v>0</v>
      </c>
      <c r="CR15" s="4"/>
      <c r="CS15" s="4"/>
      <c r="CT15" s="302"/>
      <c r="CU15" s="302"/>
      <c r="CV15" s="67"/>
      <c r="CW15" s="67"/>
      <c r="CX15" s="67"/>
      <c r="CY15" s="67"/>
      <c r="CZ15" s="113"/>
      <c r="DA15" s="113"/>
      <c r="DB15" s="383"/>
      <c r="DC15" s="383"/>
      <c r="DD15" s="383"/>
      <c r="DE15" s="383"/>
      <c r="DI15" s="4">
        <f t="shared" si="70"/>
        <v>45119</v>
      </c>
      <c r="DJ15" s="112">
        <f t="shared" ca="1" si="71"/>
        <v>0</v>
      </c>
      <c r="DK15" s="112">
        <f t="shared" si="72"/>
        <v>0</v>
      </c>
      <c r="DL15" s="4">
        <f t="shared" si="73"/>
        <v>45119</v>
      </c>
      <c r="DM15" s="112">
        <f t="shared" ca="1" si="74"/>
        <v>0</v>
      </c>
      <c r="DN15" s="112">
        <f t="shared" si="75"/>
        <v>0</v>
      </c>
      <c r="DO15" s="4">
        <f t="shared" si="76"/>
        <v>45119</v>
      </c>
      <c r="DP15" s="112">
        <f t="shared" ca="1" si="77"/>
        <v>0</v>
      </c>
      <c r="DQ15" s="112">
        <f t="shared" si="78"/>
        <v>0</v>
      </c>
      <c r="DR15" s="4">
        <f t="shared" si="79"/>
        <v>45119</v>
      </c>
      <c r="DS15" s="112">
        <f t="shared" ca="1" si="80"/>
        <v>0</v>
      </c>
      <c r="DT15" s="112">
        <f t="shared" si="81"/>
        <v>0</v>
      </c>
      <c r="DU15" s="4">
        <f t="shared" si="82"/>
        <v>45119</v>
      </c>
      <c r="DV15" s="112">
        <f t="shared" si="83"/>
        <v>0</v>
      </c>
      <c r="DW15" s="112">
        <f t="shared" si="84"/>
        <v>0</v>
      </c>
    </row>
    <row r="16" spans="2:127" x14ac:dyDescent="0.25">
      <c r="B16" s="39" t="str">
        <f>IF(LEFT('283'!B123,1)="R","Benefits Paid","")</f>
        <v/>
      </c>
      <c r="C16" s="3" t="str">
        <f>IF(B16&lt;&gt;"",IF('283'!C123&lt;&gt;"",'283'!C123,""),"")</f>
        <v/>
      </c>
      <c r="D16" s="40" t="str">
        <f>IF($B16&lt;&gt;"",IF('283'!D123&lt;&gt;"",'283'!D123,""),"")</f>
        <v/>
      </c>
      <c r="E16" s="40" t="str">
        <f>IF($B16&lt;&gt;"",IF('283'!E123&lt;&gt;"",'283'!E123,""),"")</f>
        <v/>
      </c>
      <c r="F16" s="40" t="str">
        <f>IF($B16&lt;&gt;"",IF('283'!F123&lt;&gt;"",'283'!F123,""),"")</f>
        <v/>
      </c>
      <c r="G16" s="41" t="str">
        <f>IF($B16&lt;&gt;"",IF('283'!G123&lt;&gt;"",'283'!G123,""),"")</f>
        <v/>
      </c>
      <c r="H16" s="23">
        <v>12</v>
      </c>
      <c r="I16" s="42" t="str">
        <f>IF(AND(LEFT('283'!B123,1)&lt;&gt;"R",LEFT('283'!B123,1)&lt;&gt;""),'283'!B123,"")</f>
        <v/>
      </c>
      <c r="J16" s="3" t="str">
        <f>IF(I16&lt;&gt;"",IF('283'!C123&lt;&gt;"",'283'!C123,""),"")</f>
        <v/>
      </c>
      <c r="K16" s="40" t="str">
        <f>IF($I16&lt;&gt;"",IF('283'!D123&lt;&gt;"",IF(LEFT($I16,1)="N",-'283'!D123,'283'!D123),""),"")</f>
        <v/>
      </c>
      <c r="L16" s="40" t="str">
        <f>IF($I16&lt;&gt;"",IF('283'!E123&lt;&gt;"",IF(LEFT($I16,1)="N",-'283'!E123,'283'!E123),""),"")</f>
        <v/>
      </c>
      <c r="M16" s="40" t="str">
        <f>IF($I16&lt;&gt;"",IF('283'!F123&lt;&gt;"",IF(LEFT($I16,1)="N",-'283'!F123,'283'!F123),""),"")</f>
        <v/>
      </c>
      <c r="N16" s="40" t="str">
        <f>IF($I16&lt;&gt;"",IF('283'!G123&lt;&gt;"",IF(LEFT($I16,1)="N",-'283'!G123,'283'!G123),""),"")</f>
        <v/>
      </c>
      <c r="O16" s="43"/>
      <c r="P16" s="38"/>
      <c r="Q16" s="4">
        <f t="shared" si="16"/>
        <v>45120</v>
      </c>
      <c r="R16" s="24">
        <f t="shared" si="17"/>
        <v>0</v>
      </c>
      <c r="S16" s="25">
        <f t="shared" si="18"/>
        <v>0</v>
      </c>
      <c r="T16" s="24">
        <f t="shared" si="19"/>
        <v>0</v>
      </c>
      <c r="U16" s="25">
        <f t="shared" si="20"/>
        <v>0</v>
      </c>
      <c r="V16" s="24">
        <f t="shared" si="21"/>
        <v>0</v>
      </c>
      <c r="W16" s="25">
        <f t="shared" si="22"/>
        <v>0</v>
      </c>
      <c r="X16" s="24">
        <f t="shared" si="23"/>
        <v>0</v>
      </c>
      <c r="Y16" s="26">
        <f t="shared" si="24"/>
        <v>0</v>
      </c>
      <c r="Z16" s="27">
        <f t="shared" si="25"/>
        <v>0</v>
      </c>
      <c r="AA16" s="28">
        <f t="shared" si="26"/>
        <v>45120</v>
      </c>
      <c r="AB16" s="24">
        <f t="shared" si="27"/>
        <v>0</v>
      </c>
      <c r="AC16" s="25">
        <f t="shared" si="28"/>
        <v>0</v>
      </c>
      <c r="AD16" s="28">
        <f t="shared" si="29"/>
        <v>45120</v>
      </c>
      <c r="AE16" s="24">
        <f t="shared" si="30"/>
        <v>0</v>
      </c>
      <c r="AF16" s="25">
        <f t="shared" si="31"/>
        <v>0</v>
      </c>
      <c r="AG16" s="28">
        <f t="shared" si="32"/>
        <v>45120</v>
      </c>
      <c r="AH16" s="24">
        <f t="shared" si="33"/>
        <v>0</v>
      </c>
      <c r="AI16" s="25">
        <f t="shared" si="34"/>
        <v>0</v>
      </c>
      <c r="AJ16" s="28">
        <f t="shared" si="35"/>
        <v>45120</v>
      </c>
      <c r="AK16" s="24">
        <f t="shared" si="36"/>
        <v>0</v>
      </c>
      <c r="AL16" s="25">
        <f t="shared" si="37"/>
        <v>0</v>
      </c>
      <c r="AM16" s="29">
        <f t="shared" si="38"/>
        <v>0</v>
      </c>
      <c r="AN16" s="28">
        <f t="shared" si="39"/>
        <v>45120</v>
      </c>
      <c r="AO16" s="373">
        <f t="shared" si="0"/>
        <v>0</v>
      </c>
      <c r="AP16" s="374">
        <f t="shared" si="1"/>
        <v>0</v>
      </c>
      <c r="AQ16" s="27">
        <f t="shared" si="2"/>
        <v>0</v>
      </c>
      <c r="AR16" s="25">
        <f t="shared" si="3"/>
        <v>0</v>
      </c>
      <c r="AS16" s="25">
        <f t="shared" si="4"/>
        <v>0</v>
      </c>
      <c r="AT16" s="25">
        <f t="shared" si="5"/>
        <v>0</v>
      </c>
      <c r="AU16" s="29">
        <f t="shared" si="85"/>
        <v>0</v>
      </c>
      <c r="AV16" s="27">
        <f t="shared" si="40"/>
        <v>0</v>
      </c>
      <c r="AW16" s="27">
        <f t="shared" si="41"/>
        <v>0</v>
      </c>
      <c r="AX16" s="27">
        <f t="shared" si="42"/>
        <v>0</v>
      </c>
      <c r="AY16" s="27">
        <f t="shared" si="43"/>
        <v>0</v>
      </c>
      <c r="AZ16" s="2" t="str">
        <f t="shared" si="44"/>
        <v/>
      </c>
      <c r="BA16" s="2" t="str">
        <f t="shared" si="45"/>
        <v/>
      </c>
      <c r="BB16" s="2" t="str">
        <f t="shared" si="46"/>
        <v/>
      </c>
      <c r="BC16" s="2" t="str">
        <f t="shared" si="47"/>
        <v/>
      </c>
      <c r="BD16" s="2" t="str">
        <f t="shared" si="86"/>
        <v/>
      </c>
      <c r="BE16" s="2" t="str">
        <f t="shared" si="48"/>
        <v/>
      </c>
      <c r="BF16" s="2" t="str">
        <f t="shared" si="49"/>
        <v/>
      </c>
      <c r="BG16" s="2" t="str">
        <f t="shared" si="50"/>
        <v/>
      </c>
      <c r="BH16" s="2">
        <f t="shared" si="51"/>
        <v>0</v>
      </c>
      <c r="BI16" s="298" t="str">
        <f t="shared" si="87"/>
        <v/>
      </c>
      <c r="BJ16" s="298" t="str">
        <f t="shared" si="52"/>
        <v/>
      </c>
      <c r="BK16" s="335" t="str">
        <f ca="1">IF(BM15&lt;&gt;"",IF(MIN(OFFSET($BI$3,BM15+2,0):BI380)=0,"",MIN(OFFSET($BI$3,BM15+2,0):BI380)),"")</f>
        <v/>
      </c>
      <c r="BL16" s="301" t="str">
        <f ca="1">IF(BN15&lt;&gt;"",IF(MIN(OFFSET($BJ$3,BN15+2,0):BJ379)=0,IF(BK16&lt;&gt;"",$BL$1,""),MIN(OFFSET($BJ$3,BN15+2,0):BJ379)),"")</f>
        <v/>
      </c>
      <c r="BM16" s="302" t="str">
        <f t="shared" ca="1" si="53"/>
        <v/>
      </c>
      <c r="BN16" s="302" t="str">
        <f t="shared" ca="1" si="54"/>
        <v/>
      </c>
      <c r="BO16" s="336" t="str">
        <f t="shared" ca="1" si="88"/>
        <v/>
      </c>
      <c r="BP16" s="337" t="str">
        <f t="shared" ca="1" si="91"/>
        <v/>
      </c>
      <c r="BQ16" s="4">
        <f t="shared" si="55"/>
        <v>45120</v>
      </c>
      <c r="BR16" s="112">
        <f t="shared" si="56"/>
        <v>0</v>
      </c>
      <c r="BS16" s="112">
        <f t="shared" si="57"/>
        <v>0</v>
      </c>
      <c r="BT16" s="112">
        <f t="shared" si="58"/>
        <v>0</v>
      </c>
      <c r="BU16" s="112">
        <f t="shared" si="59"/>
        <v>0</v>
      </c>
      <c r="BV16" s="112">
        <f t="shared" si="60"/>
        <v>0</v>
      </c>
      <c r="BX16" s="343" t="str">
        <f t="shared" ca="1" si="61"/>
        <v/>
      </c>
      <c r="BY16" s="343" t="str">
        <f t="shared" ca="1" si="62"/>
        <v/>
      </c>
      <c r="CA16" s="301" t="str">
        <f t="shared" ca="1" si="92"/>
        <v/>
      </c>
      <c r="CB16" s="301" t="str">
        <f t="shared" ca="1" si="89"/>
        <v/>
      </c>
      <c r="CC16" s="2" t="str">
        <f t="shared" ca="1" si="90"/>
        <v/>
      </c>
      <c r="CD16" s="2">
        <v>7</v>
      </c>
      <c r="CE16" s="2" t="str">
        <f t="shared" ca="1" si="63"/>
        <v/>
      </c>
      <c r="CF16" s="2" t="str">
        <f t="shared" ca="1" si="64"/>
        <v/>
      </c>
      <c r="CI16" s="4">
        <f t="shared" si="65"/>
        <v>45120</v>
      </c>
      <c r="CJ16" s="50">
        <f ca="1">IF($BH16=0,IF($CO16="",CJ15+R16,IF('283'!$K$251=1,VLOOKUP($CO16,PerStBal,2)+R16,IF('283'!$K$253=1,(VLOOKUP($CO16,PerPortion,2)*VLOOKUP($CO16,PerStBal,6))+R16,GL!BS16))),0)</f>
        <v>0</v>
      </c>
      <c r="CK16" s="425">
        <f ca="1">IF($BH16=0,IF($CO16="",CK15+T16,IF('283'!$K$251=1,IF(mname2&lt;&gt;"",VLOOKUP($CO16,PerStBal,3)+T16,0),IF('283'!$K$253=1,(VLOOKUP($CO16,PerPortion,3)*VLOOKUP($CO16,PerStBal,6))+T16,GL!BT16))),0)</f>
        <v>0</v>
      </c>
      <c r="CL16" s="425">
        <f ca="1">IF($BH16=0,IF($CO16="",CL15+V16,IF('283'!$K$251=1,IF(mname3&lt;&gt;"",VLOOKUP($CO16,PerStBal,4)+V16,0),IF('283'!$K$253=1,(VLOOKUP($CO16,PerPortion,4)*VLOOKUP($CO16,PerStBal,6))+V16,GL!BU16))),0)</f>
        <v>0</v>
      </c>
      <c r="CM16" s="425">
        <f ca="1">IF($BH16=0,IF($CO16="",CM15+X16,IF('283'!$K$251=1,IF(mname4&lt;&gt;"",VLOOKUP($CO16,PerStBal,5)+X16,0),IF('283'!$K$253=1,(VLOOKUP($CO16,PerPortion,5)*VLOOKUP($CO16,PerStBal,6))+X16,GL!BV16))),0)</f>
        <v>0</v>
      </c>
      <c r="CN16" s="50">
        <f t="shared" ca="1" si="66"/>
        <v>0</v>
      </c>
      <c r="CO16" s="4" t="str">
        <f t="shared" ca="1" si="67"/>
        <v/>
      </c>
      <c r="CP16" s="377">
        <f t="shared" si="7"/>
        <v>0</v>
      </c>
      <c r="CR16" s="4"/>
      <c r="CS16" s="4"/>
      <c r="CT16" s="302"/>
      <c r="CU16" s="302"/>
      <c r="CV16" s="67"/>
      <c r="CW16" s="67"/>
      <c r="CX16" s="67"/>
      <c r="CY16" s="67"/>
      <c r="CZ16" s="113"/>
      <c r="DA16" s="113"/>
      <c r="DB16" s="383"/>
      <c r="DC16" s="383"/>
      <c r="DD16" s="383"/>
      <c r="DE16" s="383"/>
      <c r="DI16" s="4">
        <f t="shared" si="70"/>
        <v>45120</v>
      </c>
      <c r="DJ16" s="112">
        <f t="shared" ca="1" si="71"/>
        <v>0</v>
      </c>
      <c r="DK16" s="112">
        <f t="shared" si="72"/>
        <v>0</v>
      </c>
      <c r="DL16" s="4">
        <f t="shared" si="73"/>
        <v>45120</v>
      </c>
      <c r="DM16" s="112">
        <f t="shared" ca="1" si="74"/>
        <v>0</v>
      </c>
      <c r="DN16" s="112">
        <f t="shared" si="75"/>
        <v>0</v>
      </c>
      <c r="DO16" s="4">
        <f t="shared" si="76"/>
        <v>45120</v>
      </c>
      <c r="DP16" s="112">
        <f t="shared" ca="1" si="77"/>
        <v>0</v>
      </c>
      <c r="DQ16" s="112">
        <f t="shared" si="78"/>
        <v>0</v>
      </c>
      <c r="DR16" s="4">
        <f t="shared" si="79"/>
        <v>45120</v>
      </c>
      <c r="DS16" s="112">
        <f t="shared" ca="1" si="80"/>
        <v>0</v>
      </c>
      <c r="DT16" s="112">
        <f t="shared" si="81"/>
        <v>0</v>
      </c>
      <c r="DU16" s="4">
        <f t="shared" si="82"/>
        <v>45120</v>
      </c>
      <c r="DV16" s="112">
        <f t="shared" si="83"/>
        <v>0</v>
      </c>
      <c r="DW16" s="112">
        <f t="shared" si="84"/>
        <v>0</v>
      </c>
    </row>
    <row r="17" spans="2:127" x14ac:dyDescent="0.25">
      <c r="B17" s="39" t="str">
        <f>IF(LEFT('283'!B124,1)="R","Benefits Paid","")</f>
        <v/>
      </c>
      <c r="C17" s="3" t="str">
        <f>IF(B17&lt;&gt;"",IF('283'!C124&lt;&gt;"",'283'!C124,""),"")</f>
        <v/>
      </c>
      <c r="D17" s="40" t="str">
        <f>IF($B17&lt;&gt;"",IF('283'!D124&lt;&gt;"",'283'!D124,""),"")</f>
        <v/>
      </c>
      <c r="E17" s="40" t="str">
        <f>IF($B17&lt;&gt;"",IF('283'!E124&lt;&gt;"",'283'!E124,""),"")</f>
        <v/>
      </c>
      <c r="F17" s="40" t="str">
        <f>IF($B17&lt;&gt;"",IF('283'!F124&lt;&gt;"",'283'!F124,""),"")</f>
        <v/>
      </c>
      <c r="G17" s="41" t="str">
        <f>IF($B17&lt;&gt;"",IF('283'!G124&lt;&gt;"",'283'!G124,""),"")</f>
        <v/>
      </c>
      <c r="H17" s="23">
        <v>13</v>
      </c>
      <c r="I17" s="42" t="str">
        <f>IF(AND(LEFT('283'!B124,1)&lt;&gt;"R",LEFT('283'!B124,1)&lt;&gt;""),'283'!B124,"")</f>
        <v/>
      </c>
      <c r="J17" s="3" t="str">
        <f>IF(I17&lt;&gt;"",IF('283'!C124&lt;&gt;"",'283'!C124,""),"")</f>
        <v/>
      </c>
      <c r="K17" s="40" t="str">
        <f>IF($I17&lt;&gt;"",IF('283'!D124&lt;&gt;"",IF(LEFT($I17,1)="N",-'283'!D124,'283'!D124),""),"")</f>
        <v/>
      </c>
      <c r="L17" s="40" t="str">
        <f>IF($I17&lt;&gt;"",IF('283'!E124&lt;&gt;"",IF(LEFT($I17,1)="N",-'283'!E124,'283'!E124),""),"")</f>
        <v/>
      </c>
      <c r="M17" s="40" t="str">
        <f>IF($I17&lt;&gt;"",IF('283'!F124&lt;&gt;"",IF(LEFT($I17,1)="N",-'283'!F124,'283'!F124),""),"")</f>
        <v/>
      </c>
      <c r="N17" s="40" t="str">
        <f>IF($I17&lt;&gt;"",IF('283'!G124&lt;&gt;"",IF(LEFT($I17,1)="N",-'283'!G124,'283'!G124),""),"")</f>
        <v/>
      </c>
      <c r="O17" s="43"/>
      <c r="P17" s="38"/>
      <c r="Q17" s="4">
        <f t="shared" si="16"/>
        <v>45121</v>
      </c>
      <c r="R17" s="24">
        <f t="shared" si="17"/>
        <v>0</v>
      </c>
      <c r="S17" s="25">
        <f t="shared" si="18"/>
        <v>0</v>
      </c>
      <c r="T17" s="24">
        <f t="shared" si="19"/>
        <v>0</v>
      </c>
      <c r="U17" s="25">
        <f t="shared" si="20"/>
        <v>0</v>
      </c>
      <c r="V17" s="24">
        <f t="shared" si="21"/>
        <v>0</v>
      </c>
      <c r="W17" s="25">
        <f t="shared" si="22"/>
        <v>0</v>
      </c>
      <c r="X17" s="24">
        <f t="shared" si="23"/>
        <v>0</v>
      </c>
      <c r="Y17" s="26">
        <f t="shared" si="24"/>
        <v>0</v>
      </c>
      <c r="Z17" s="27">
        <f t="shared" si="25"/>
        <v>0</v>
      </c>
      <c r="AA17" s="28">
        <f t="shared" si="26"/>
        <v>45121</v>
      </c>
      <c r="AB17" s="24">
        <f t="shared" si="27"/>
        <v>0</v>
      </c>
      <c r="AC17" s="25">
        <f t="shared" si="28"/>
        <v>0</v>
      </c>
      <c r="AD17" s="28">
        <f t="shared" si="29"/>
        <v>45121</v>
      </c>
      <c r="AE17" s="24">
        <f t="shared" si="30"/>
        <v>0</v>
      </c>
      <c r="AF17" s="25">
        <f t="shared" si="31"/>
        <v>0</v>
      </c>
      <c r="AG17" s="28">
        <f t="shared" si="32"/>
        <v>45121</v>
      </c>
      <c r="AH17" s="24">
        <f t="shared" si="33"/>
        <v>0</v>
      </c>
      <c r="AI17" s="25">
        <f t="shared" si="34"/>
        <v>0</v>
      </c>
      <c r="AJ17" s="28">
        <f t="shared" si="35"/>
        <v>45121</v>
      </c>
      <c r="AK17" s="24">
        <f t="shared" si="36"/>
        <v>0</v>
      </c>
      <c r="AL17" s="25">
        <f t="shared" si="37"/>
        <v>0</v>
      </c>
      <c r="AM17" s="29">
        <f t="shared" si="38"/>
        <v>0</v>
      </c>
      <c r="AN17" s="28">
        <f t="shared" si="39"/>
        <v>45121</v>
      </c>
      <c r="AO17" s="373">
        <f t="shared" si="0"/>
        <v>0</v>
      </c>
      <c r="AP17" s="374">
        <f t="shared" si="1"/>
        <v>0</v>
      </c>
      <c r="AQ17" s="27">
        <f t="shared" si="2"/>
        <v>0</v>
      </c>
      <c r="AR17" s="25">
        <f t="shared" si="3"/>
        <v>0</v>
      </c>
      <c r="AS17" s="25">
        <f t="shared" si="4"/>
        <v>0</v>
      </c>
      <c r="AT17" s="25">
        <f t="shared" si="5"/>
        <v>0</v>
      </c>
      <c r="AU17" s="29">
        <f t="shared" si="85"/>
        <v>0</v>
      </c>
      <c r="AV17" s="27">
        <f t="shared" si="40"/>
        <v>0</v>
      </c>
      <c r="AW17" s="27">
        <f t="shared" si="41"/>
        <v>0</v>
      </c>
      <c r="AX17" s="27">
        <f t="shared" si="42"/>
        <v>0</v>
      </c>
      <c r="AY17" s="27">
        <f t="shared" si="43"/>
        <v>0</v>
      </c>
      <c r="AZ17" s="2" t="str">
        <f t="shared" si="44"/>
        <v/>
      </c>
      <c r="BA17" s="2" t="str">
        <f t="shared" si="45"/>
        <v/>
      </c>
      <c r="BB17" s="2" t="str">
        <f t="shared" si="46"/>
        <v/>
      </c>
      <c r="BC17" s="2" t="str">
        <f t="shared" si="47"/>
        <v/>
      </c>
      <c r="BD17" s="2" t="str">
        <f t="shared" si="86"/>
        <v/>
      </c>
      <c r="BE17" s="2" t="str">
        <f t="shared" si="48"/>
        <v/>
      </c>
      <c r="BF17" s="2" t="str">
        <f t="shared" si="49"/>
        <v/>
      </c>
      <c r="BG17" s="2" t="str">
        <f t="shared" si="50"/>
        <v/>
      </c>
      <c r="BH17" s="2">
        <f t="shared" si="51"/>
        <v>0</v>
      </c>
      <c r="BI17" s="298" t="str">
        <f t="shared" si="87"/>
        <v/>
      </c>
      <c r="BJ17" s="298" t="str">
        <f t="shared" si="52"/>
        <v/>
      </c>
      <c r="BK17" s="335" t="str">
        <f ca="1">IF(BM16&lt;&gt;"",IF(MIN(OFFSET($BI$3,BM16+2,0):BI381)=0,"",MIN(OFFSET($BI$3,BM16+2,0):BI381)),"")</f>
        <v/>
      </c>
      <c r="BL17" s="301" t="str">
        <f ca="1">IF(BN16&lt;&gt;"",IF(MIN(OFFSET($BJ$3,BN16+2,0):BJ380)=0,IF(BK17&lt;&gt;"",$BL$1,""),MIN(OFFSET($BJ$3,BN16+2,0):BJ380)),"")</f>
        <v/>
      </c>
      <c r="BM17" s="302" t="str">
        <f t="shared" ca="1" si="53"/>
        <v/>
      </c>
      <c r="BN17" s="302" t="str">
        <f t="shared" ca="1" si="54"/>
        <v/>
      </c>
      <c r="BO17" s="336" t="str">
        <f t="shared" ca="1" si="88"/>
        <v/>
      </c>
      <c r="BP17" s="337" t="str">
        <f t="shared" ca="1" si="91"/>
        <v/>
      </c>
      <c r="BQ17" s="4">
        <f t="shared" si="55"/>
        <v>45121</v>
      </c>
      <c r="BR17" s="112">
        <f t="shared" si="56"/>
        <v>0</v>
      </c>
      <c r="BS17" s="112">
        <f t="shared" si="57"/>
        <v>0</v>
      </c>
      <c r="BT17" s="112">
        <f t="shared" si="58"/>
        <v>0</v>
      </c>
      <c r="BU17" s="112">
        <f t="shared" si="59"/>
        <v>0</v>
      </c>
      <c r="BV17" s="112">
        <f t="shared" si="60"/>
        <v>0</v>
      </c>
      <c r="BX17" s="343" t="str">
        <f t="shared" ca="1" si="61"/>
        <v/>
      </c>
      <c r="BY17" s="343" t="str">
        <f t="shared" ca="1" si="62"/>
        <v/>
      </c>
      <c r="CA17" s="301" t="str">
        <f t="shared" ca="1" si="92"/>
        <v/>
      </c>
      <c r="CB17" s="301" t="str">
        <f t="shared" ca="1" si="89"/>
        <v/>
      </c>
      <c r="CC17" s="2" t="str">
        <f t="shared" ca="1" si="90"/>
        <v/>
      </c>
      <c r="CD17" s="2">
        <v>7</v>
      </c>
      <c r="CE17" s="2" t="str">
        <f t="shared" ca="1" si="63"/>
        <v/>
      </c>
      <c r="CF17" s="2" t="str">
        <f t="shared" ca="1" si="64"/>
        <v/>
      </c>
      <c r="CI17" s="4">
        <f t="shared" si="65"/>
        <v>45121</v>
      </c>
      <c r="CJ17" s="50">
        <f ca="1">IF($BH17=0,IF($CO17="",CJ16+R17,IF('283'!$K$251=1,VLOOKUP($CO17,PerStBal,2)+R17,IF('283'!$K$253=1,(VLOOKUP($CO17,PerPortion,2)*VLOOKUP($CO17,PerStBal,6))+R17,GL!BS17))),0)</f>
        <v>0</v>
      </c>
      <c r="CK17" s="425">
        <f ca="1">IF($BH17=0,IF($CO17="",CK16+T17,IF('283'!$K$251=1,IF(mname2&lt;&gt;"",VLOOKUP($CO17,PerStBal,3)+T17,0),IF('283'!$K$253=1,(VLOOKUP($CO17,PerPortion,3)*VLOOKUP($CO17,PerStBal,6))+T17,GL!BT17))),0)</f>
        <v>0</v>
      </c>
      <c r="CL17" s="425">
        <f ca="1">IF($BH17=0,IF($CO17="",CL16+V17,IF('283'!$K$251=1,IF(mname3&lt;&gt;"",VLOOKUP($CO17,PerStBal,4)+V17,0),IF('283'!$K$253=1,(VLOOKUP($CO17,PerPortion,4)*VLOOKUP($CO17,PerStBal,6))+V17,GL!BU17))),0)</f>
        <v>0</v>
      </c>
      <c r="CM17" s="425">
        <f ca="1">IF($BH17=0,IF($CO17="",CM16+X17,IF('283'!$K$251=1,IF(mname4&lt;&gt;"",VLOOKUP($CO17,PerStBal,5)+X17,0),IF('283'!$K$253=1,(VLOOKUP($CO17,PerPortion,5)*VLOOKUP($CO17,PerStBal,6))+X17,GL!BV17))),0)</f>
        <v>0</v>
      </c>
      <c r="CN17" s="50">
        <f t="shared" ca="1" si="66"/>
        <v>0</v>
      </c>
      <c r="CO17" s="4" t="str">
        <f t="shared" ca="1" si="67"/>
        <v/>
      </c>
      <c r="CP17" s="377">
        <f t="shared" si="7"/>
        <v>0</v>
      </c>
      <c r="CR17" s="4"/>
      <c r="CS17" s="4"/>
      <c r="CT17" s="302"/>
      <c r="CU17" s="302"/>
      <c r="CV17" s="67"/>
      <c r="CW17" s="67"/>
      <c r="CX17" s="67"/>
      <c r="CY17" s="67"/>
      <c r="CZ17" s="113"/>
      <c r="DA17" s="113"/>
      <c r="DB17" s="383"/>
      <c r="DC17" s="383"/>
      <c r="DD17" s="383"/>
      <c r="DE17" s="383"/>
      <c r="DI17" s="4">
        <f t="shared" si="70"/>
        <v>45121</v>
      </c>
      <c r="DJ17" s="112">
        <f t="shared" ca="1" si="71"/>
        <v>0</v>
      </c>
      <c r="DK17" s="112">
        <f t="shared" si="72"/>
        <v>0</v>
      </c>
      <c r="DL17" s="4">
        <f t="shared" si="73"/>
        <v>45121</v>
      </c>
      <c r="DM17" s="112">
        <f t="shared" ca="1" si="74"/>
        <v>0</v>
      </c>
      <c r="DN17" s="112">
        <f t="shared" si="75"/>
        <v>0</v>
      </c>
      <c r="DO17" s="4">
        <f t="shared" si="76"/>
        <v>45121</v>
      </c>
      <c r="DP17" s="112">
        <f t="shared" ca="1" si="77"/>
        <v>0</v>
      </c>
      <c r="DQ17" s="112">
        <f t="shared" si="78"/>
        <v>0</v>
      </c>
      <c r="DR17" s="4">
        <f t="shared" si="79"/>
        <v>45121</v>
      </c>
      <c r="DS17" s="112">
        <f t="shared" ca="1" si="80"/>
        <v>0</v>
      </c>
      <c r="DT17" s="112">
        <f t="shared" si="81"/>
        <v>0</v>
      </c>
      <c r="DU17" s="4">
        <f t="shared" si="82"/>
        <v>45121</v>
      </c>
      <c r="DV17" s="112">
        <f t="shared" si="83"/>
        <v>0</v>
      </c>
      <c r="DW17" s="112">
        <f t="shared" si="84"/>
        <v>0</v>
      </c>
    </row>
    <row r="18" spans="2:127" x14ac:dyDescent="0.25">
      <c r="B18" s="39" t="str">
        <f>IF(LEFT('283'!B125,1)="R","Benefits Paid","")</f>
        <v/>
      </c>
      <c r="C18" s="3" t="str">
        <f>IF(B18&lt;&gt;"",IF('283'!C125&lt;&gt;"",'283'!C125,""),"")</f>
        <v/>
      </c>
      <c r="D18" s="40" t="str">
        <f>IF($B18&lt;&gt;"",IF('283'!D125&lt;&gt;"",'283'!D125,""),"")</f>
        <v/>
      </c>
      <c r="E18" s="40" t="str">
        <f>IF($B18&lt;&gt;"",IF('283'!E125&lt;&gt;"",'283'!E125,""),"")</f>
        <v/>
      </c>
      <c r="F18" s="40" t="str">
        <f>IF($B18&lt;&gt;"",IF('283'!F125&lt;&gt;"",'283'!F125,""),"")</f>
        <v/>
      </c>
      <c r="G18" s="41" t="str">
        <f>IF($B18&lt;&gt;"",IF('283'!G125&lt;&gt;"",'283'!G125,""),"")</f>
        <v/>
      </c>
      <c r="H18" s="23">
        <v>14</v>
      </c>
      <c r="I18" s="42" t="str">
        <f>IF(AND(LEFT('283'!B125,1)&lt;&gt;"R",LEFT('283'!B125,1)&lt;&gt;""),'283'!B125,"")</f>
        <v/>
      </c>
      <c r="J18" s="3" t="str">
        <f>IF(I18&lt;&gt;"",IF('283'!C125&lt;&gt;"",'283'!C125,""),"")</f>
        <v/>
      </c>
      <c r="K18" s="40" t="str">
        <f>IF($I18&lt;&gt;"",IF('283'!D125&lt;&gt;"",IF(LEFT($I18,1)="N",-'283'!D125,'283'!D125),""),"")</f>
        <v/>
      </c>
      <c r="L18" s="40" t="str">
        <f>IF($I18&lt;&gt;"",IF('283'!E125&lt;&gt;"",IF(LEFT($I18,1)="N",-'283'!E125,'283'!E125),""),"")</f>
        <v/>
      </c>
      <c r="M18" s="40" t="str">
        <f>IF($I18&lt;&gt;"",IF('283'!F125&lt;&gt;"",IF(LEFT($I18,1)="N",-'283'!F125,'283'!F125),""),"")</f>
        <v/>
      </c>
      <c r="N18" s="40" t="str">
        <f>IF($I18&lt;&gt;"",IF('283'!G125&lt;&gt;"",IF(LEFT($I18,1)="N",-'283'!G125,'283'!G125),""),"")</f>
        <v/>
      </c>
      <c r="O18" s="43"/>
      <c r="P18" s="38"/>
      <c r="Q18" s="4">
        <f t="shared" si="16"/>
        <v>45122</v>
      </c>
      <c r="R18" s="24">
        <f t="shared" si="17"/>
        <v>0</v>
      </c>
      <c r="S18" s="25">
        <f t="shared" si="18"/>
        <v>0</v>
      </c>
      <c r="T18" s="24">
        <f t="shared" si="19"/>
        <v>0</v>
      </c>
      <c r="U18" s="25">
        <f t="shared" si="20"/>
        <v>0</v>
      </c>
      <c r="V18" s="24">
        <f t="shared" si="21"/>
        <v>0</v>
      </c>
      <c r="W18" s="25">
        <f t="shared" si="22"/>
        <v>0</v>
      </c>
      <c r="X18" s="24">
        <f t="shared" si="23"/>
        <v>0</v>
      </c>
      <c r="Y18" s="26">
        <f t="shared" si="24"/>
        <v>0</v>
      </c>
      <c r="Z18" s="27">
        <f t="shared" si="25"/>
        <v>0</v>
      </c>
      <c r="AA18" s="28">
        <f t="shared" si="26"/>
        <v>45122</v>
      </c>
      <c r="AB18" s="24">
        <f t="shared" si="27"/>
        <v>0</v>
      </c>
      <c r="AC18" s="25">
        <f t="shared" si="28"/>
        <v>0</v>
      </c>
      <c r="AD18" s="28">
        <f t="shared" si="29"/>
        <v>45122</v>
      </c>
      <c r="AE18" s="24">
        <f t="shared" si="30"/>
        <v>0</v>
      </c>
      <c r="AF18" s="25">
        <f t="shared" si="31"/>
        <v>0</v>
      </c>
      <c r="AG18" s="28">
        <f t="shared" si="32"/>
        <v>45122</v>
      </c>
      <c r="AH18" s="24">
        <f t="shared" si="33"/>
        <v>0</v>
      </c>
      <c r="AI18" s="25">
        <f t="shared" si="34"/>
        <v>0</v>
      </c>
      <c r="AJ18" s="28">
        <f t="shared" si="35"/>
        <v>45122</v>
      </c>
      <c r="AK18" s="24">
        <f t="shared" si="36"/>
        <v>0</v>
      </c>
      <c r="AL18" s="25">
        <f t="shared" si="37"/>
        <v>0</v>
      </c>
      <c r="AM18" s="29">
        <f t="shared" si="38"/>
        <v>0</v>
      </c>
      <c r="AN18" s="28">
        <f t="shared" si="39"/>
        <v>45122</v>
      </c>
      <c r="AO18" s="373">
        <f t="shared" si="0"/>
        <v>0</v>
      </c>
      <c r="AP18" s="374">
        <f t="shared" si="1"/>
        <v>0</v>
      </c>
      <c r="AQ18" s="27">
        <f t="shared" si="2"/>
        <v>0</v>
      </c>
      <c r="AR18" s="25">
        <f t="shared" si="3"/>
        <v>0</v>
      </c>
      <c r="AS18" s="25">
        <f t="shared" si="4"/>
        <v>0</v>
      </c>
      <c r="AT18" s="25">
        <f t="shared" si="5"/>
        <v>0</v>
      </c>
      <c r="AU18" s="29">
        <f t="shared" si="85"/>
        <v>0</v>
      </c>
      <c r="AV18" s="27">
        <f t="shared" si="40"/>
        <v>0</v>
      </c>
      <c r="AW18" s="27">
        <f t="shared" si="41"/>
        <v>0</v>
      </c>
      <c r="AX18" s="27">
        <f t="shared" si="42"/>
        <v>0</v>
      </c>
      <c r="AY18" s="27">
        <f t="shared" si="43"/>
        <v>0</v>
      </c>
      <c r="AZ18" s="2" t="str">
        <f t="shared" si="44"/>
        <v/>
      </c>
      <c r="BA18" s="2" t="str">
        <f t="shared" si="45"/>
        <v/>
      </c>
      <c r="BB18" s="2" t="str">
        <f t="shared" si="46"/>
        <v/>
      </c>
      <c r="BC18" s="2" t="str">
        <f t="shared" si="47"/>
        <v/>
      </c>
      <c r="BD18" s="2" t="str">
        <f t="shared" si="86"/>
        <v/>
      </c>
      <c r="BE18" s="2" t="str">
        <f t="shared" si="48"/>
        <v/>
      </c>
      <c r="BF18" s="2" t="str">
        <f t="shared" si="49"/>
        <v/>
      </c>
      <c r="BG18" s="2" t="str">
        <f t="shared" si="50"/>
        <v/>
      </c>
      <c r="BH18" s="2">
        <f t="shared" si="51"/>
        <v>0</v>
      </c>
      <c r="BI18" s="298" t="str">
        <f t="shared" si="87"/>
        <v/>
      </c>
      <c r="BJ18" s="298" t="str">
        <f t="shared" si="52"/>
        <v/>
      </c>
      <c r="BK18" s="335" t="str">
        <f ca="1">IF(BM17&lt;&gt;"",IF(MIN(OFFSET($BI$3,BM17+2,0):BI382)=0,"",MIN(OFFSET($BI$3,BM17+2,0):BI382)),"")</f>
        <v/>
      </c>
      <c r="BL18" s="301" t="str">
        <f ca="1">IF(BN17&lt;&gt;"",IF(MIN(OFFSET($BJ$3,BN17+2,0):BJ381)=0,IF(BK18&lt;&gt;"",$BL$1,""),MIN(OFFSET($BJ$3,BN17+2,0):BJ381)),"")</f>
        <v/>
      </c>
      <c r="BM18" s="302" t="str">
        <f t="shared" ca="1" si="53"/>
        <v/>
      </c>
      <c r="BN18" s="302" t="str">
        <f t="shared" ca="1" si="54"/>
        <v/>
      </c>
      <c r="BO18" s="336" t="str">
        <f t="shared" ca="1" si="88"/>
        <v/>
      </c>
      <c r="BP18" s="337" t="str">
        <f t="shared" ca="1" si="91"/>
        <v/>
      </c>
      <c r="BQ18" s="4">
        <f t="shared" si="55"/>
        <v>45122</v>
      </c>
      <c r="BR18" s="112">
        <f t="shared" si="56"/>
        <v>0</v>
      </c>
      <c r="BS18" s="112">
        <f t="shared" si="57"/>
        <v>0</v>
      </c>
      <c r="BT18" s="112">
        <f t="shared" si="58"/>
        <v>0</v>
      </c>
      <c r="BU18" s="112">
        <f t="shared" si="59"/>
        <v>0</v>
      </c>
      <c r="BV18" s="112">
        <f t="shared" si="60"/>
        <v>0</v>
      </c>
      <c r="BX18" s="343" t="str">
        <f t="shared" ca="1" si="61"/>
        <v/>
      </c>
      <c r="BY18" s="343" t="str">
        <f t="shared" ca="1" si="62"/>
        <v/>
      </c>
      <c r="CA18" s="301" t="str">
        <f t="shared" ca="1" si="92"/>
        <v/>
      </c>
      <c r="CB18" s="301" t="str">
        <f t="shared" ca="1" si="89"/>
        <v/>
      </c>
      <c r="CC18" s="2" t="str">
        <f t="shared" ca="1" si="90"/>
        <v/>
      </c>
      <c r="CD18" s="2">
        <v>8</v>
      </c>
      <c r="CE18" s="2" t="str">
        <f t="shared" ca="1" si="63"/>
        <v/>
      </c>
      <c r="CF18" s="2" t="str">
        <f t="shared" ca="1" si="64"/>
        <v/>
      </c>
      <c r="CI18" s="4">
        <f t="shared" si="65"/>
        <v>45122</v>
      </c>
      <c r="CJ18" s="50">
        <f ca="1">IF($BH18=0,IF($CO18="",CJ17+R18,IF('283'!$K$251=1,VLOOKUP($CO18,PerStBal,2)+R18,IF('283'!$K$253=1,(VLOOKUP($CO18,PerPortion,2)*VLOOKUP($CO18,PerStBal,6))+R18,GL!BS18))),0)</f>
        <v>0</v>
      </c>
      <c r="CK18" s="425">
        <f ca="1">IF($BH18=0,IF($CO18="",CK17+T18,IF('283'!$K$251=1,IF(mname2&lt;&gt;"",VLOOKUP($CO18,PerStBal,3)+T18,0),IF('283'!$K$253=1,(VLOOKUP($CO18,PerPortion,3)*VLOOKUP($CO18,PerStBal,6))+T18,GL!BT18))),0)</f>
        <v>0</v>
      </c>
      <c r="CL18" s="425">
        <f ca="1">IF($BH18=0,IF($CO18="",CL17+V18,IF('283'!$K$251=1,IF(mname3&lt;&gt;"",VLOOKUP($CO18,PerStBal,4)+V18,0),IF('283'!$K$253=1,(VLOOKUP($CO18,PerPortion,4)*VLOOKUP($CO18,PerStBal,6))+V18,GL!BU18))),0)</f>
        <v>0</v>
      </c>
      <c r="CM18" s="425">
        <f ca="1">IF($BH18=0,IF($CO18="",CM17+X18,IF('283'!$K$251=1,IF(mname4&lt;&gt;"",VLOOKUP($CO18,PerStBal,5)+X18,0),IF('283'!$K$253=1,(VLOOKUP($CO18,PerPortion,5)*VLOOKUP($CO18,PerStBal,6))+X18,GL!BV18))),0)</f>
        <v>0</v>
      </c>
      <c r="CN18" s="50">
        <f t="shared" ca="1" si="66"/>
        <v>0</v>
      </c>
      <c r="CO18" s="4" t="str">
        <f t="shared" ca="1" si="67"/>
        <v/>
      </c>
      <c r="CP18" s="377">
        <f t="shared" si="7"/>
        <v>0</v>
      </c>
      <c r="CR18" s="4"/>
      <c r="CS18" s="4"/>
      <c r="CT18" s="302"/>
      <c r="CU18" s="302"/>
      <c r="CV18" s="67"/>
      <c r="CW18" s="67"/>
      <c r="CX18" s="67"/>
      <c r="CY18" s="67"/>
      <c r="CZ18" s="113"/>
      <c r="DA18" s="113"/>
      <c r="DB18" s="383"/>
      <c r="DC18" s="383"/>
      <c r="DD18" s="383"/>
      <c r="DE18" s="383"/>
      <c r="DI18" s="4">
        <f t="shared" si="70"/>
        <v>45122</v>
      </c>
      <c r="DJ18" s="112">
        <f t="shared" ca="1" si="71"/>
        <v>0</v>
      </c>
      <c r="DK18" s="112">
        <f t="shared" si="72"/>
        <v>0</v>
      </c>
      <c r="DL18" s="4">
        <f t="shared" si="73"/>
        <v>45122</v>
      </c>
      <c r="DM18" s="112">
        <f t="shared" ca="1" si="74"/>
        <v>0</v>
      </c>
      <c r="DN18" s="112">
        <f t="shared" si="75"/>
        <v>0</v>
      </c>
      <c r="DO18" s="4">
        <f t="shared" si="76"/>
        <v>45122</v>
      </c>
      <c r="DP18" s="112">
        <f t="shared" ca="1" si="77"/>
        <v>0</v>
      </c>
      <c r="DQ18" s="112">
        <f t="shared" si="78"/>
        <v>0</v>
      </c>
      <c r="DR18" s="4">
        <f t="shared" si="79"/>
        <v>45122</v>
      </c>
      <c r="DS18" s="112">
        <f t="shared" ca="1" si="80"/>
        <v>0</v>
      </c>
      <c r="DT18" s="112">
        <f t="shared" si="81"/>
        <v>0</v>
      </c>
      <c r="DU18" s="4">
        <f t="shared" si="82"/>
        <v>45122</v>
      </c>
      <c r="DV18" s="112">
        <f t="shared" si="83"/>
        <v>0</v>
      </c>
      <c r="DW18" s="112">
        <f t="shared" si="84"/>
        <v>0</v>
      </c>
    </row>
    <row r="19" spans="2:127" x14ac:dyDescent="0.25">
      <c r="B19" s="39" t="str">
        <f>IF(LEFT('283'!B126,1)="R","Benefits Paid","")</f>
        <v/>
      </c>
      <c r="C19" s="3" t="str">
        <f>IF(B19&lt;&gt;"",IF('283'!C126&lt;&gt;"",'283'!C126,""),"")</f>
        <v/>
      </c>
      <c r="D19" s="40" t="str">
        <f>IF($B19&lt;&gt;"",IF('283'!D126&lt;&gt;"",'283'!D126,""),"")</f>
        <v/>
      </c>
      <c r="E19" s="40" t="str">
        <f>IF($B19&lt;&gt;"",IF('283'!E126&lt;&gt;"",'283'!E126,""),"")</f>
        <v/>
      </c>
      <c r="F19" s="40" t="str">
        <f>IF($B19&lt;&gt;"",IF('283'!F126&lt;&gt;"",'283'!F126,""),"")</f>
        <v/>
      </c>
      <c r="G19" s="41" t="str">
        <f>IF($B19&lt;&gt;"",IF('283'!G126&lt;&gt;"",'283'!G126,""),"")</f>
        <v/>
      </c>
      <c r="H19" s="23">
        <v>15</v>
      </c>
      <c r="I19" s="42" t="str">
        <f>IF(AND(LEFT('283'!B126,1)&lt;&gt;"R",LEFT('283'!B126,1)&lt;&gt;""),'283'!B126,"")</f>
        <v/>
      </c>
      <c r="J19" s="3" t="str">
        <f>IF(I19&lt;&gt;"",IF('283'!C126&lt;&gt;"",'283'!C126,""),"")</f>
        <v/>
      </c>
      <c r="K19" s="40" t="str">
        <f>IF($I19&lt;&gt;"",IF('283'!D126&lt;&gt;"",IF(LEFT($I19,1)="N",-'283'!D126,'283'!D126),""),"")</f>
        <v/>
      </c>
      <c r="L19" s="40" t="str">
        <f>IF($I19&lt;&gt;"",IF('283'!E126&lt;&gt;"",IF(LEFT($I19,1)="N",-'283'!E126,'283'!E126),""),"")</f>
        <v/>
      </c>
      <c r="M19" s="40" t="str">
        <f>IF($I19&lt;&gt;"",IF('283'!F126&lt;&gt;"",IF(LEFT($I19,1)="N",-'283'!F126,'283'!F126),""),"")</f>
        <v/>
      </c>
      <c r="N19" s="40" t="str">
        <f>IF($I19&lt;&gt;"",IF('283'!G126&lt;&gt;"",IF(LEFT($I19,1)="N",-'283'!G126,'283'!G126),""),"")</f>
        <v/>
      </c>
      <c r="O19" s="43"/>
      <c r="P19" s="38"/>
      <c r="Q19" s="4">
        <f t="shared" si="16"/>
        <v>45123</v>
      </c>
      <c r="R19" s="24">
        <f t="shared" si="17"/>
        <v>0</v>
      </c>
      <c r="S19" s="25">
        <f t="shared" si="18"/>
        <v>0</v>
      </c>
      <c r="T19" s="24">
        <f t="shared" si="19"/>
        <v>0</v>
      </c>
      <c r="U19" s="25">
        <f t="shared" si="20"/>
        <v>0</v>
      </c>
      <c r="V19" s="24">
        <f t="shared" si="21"/>
        <v>0</v>
      </c>
      <c r="W19" s="25">
        <f t="shared" si="22"/>
        <v>0</v>
      </c>
      <c r="X19" s="24">
        <f t="shared" si="23"/>
        <v>0</v>
      </c>
      <c r="Y19" s="26">
        <f t="shared" si="24"/>
        <v>0</v>
      </c>
      <c r="Z19" s="27">
        <f t="shared" si="25"/>
        <v>0</v>
      </c>
      <c r="AA19" s="28">
        <f t="shared" si="26"/>
        <v>45123</v>
      </c>
      <c r="AB19" s="24">
        <f t="shared" si="27"/>
        <v>0</v>
      </c>
      <c r="AC19" s="25">
        <f t="shared" si="28"/>
        <v>0</v>
      </c>
      <c r="AD19" s="28">
        <f t="shared" si="29"/>
        <v>45123</v>
      </c>
      <c r="AE19" s="24">
        <f t="shared" si="30"/>
        <v>0</v>
      </c>
      <c r="AF19" s="25">
        <f t="shared" si="31"/>
        <v>0</v>
      </c>
      <c r="AG19" s="28">
        <f t="shared" si="32"/>
        <v>45123</v>
      </c>
      <c r="AH19" s="24">
        <f t="shared" si="33"/>
        <v>0</v>
      </c>
      <c r="AI19" s="25">
        <f t="shared" si="34"/>
        <v>0</v>
      </c>
      <c r="AJ19" s="28">
        <f t="shared" si="35"/>
        <v>45123</v>
      </c>
      <c r="AK19" s="24">
        <f t="shared" si="36"/>
        <v>0</v>
      </c>
      <c r="AL19" s="25">
        <f t="shared" si="37"/>
        <v>0</v>
      </c>
      <c r="AM19" s="29">
        <f t="shared" si="38"/>
        <v>0</v>
      </c>
      <c r="AN19" s="28">
        <f t="shared" si="39"/>
        <v>45123</v>
      </c>
      <c r="AO19" s="373">
        <f t="shared" si="0"/>
        <v>0</v>
      </c>
      <c r="AP19" s="374">
        <f t="shared" si="1"/>
        <v>0</v>
      </c>
      <c r="AQ19" s="27">
        <f t="shared" si="2"/>
        <v>0</v>
      </c>
      <c r="AR19" s="25">
        <f t="shared" si="3"/>
        <v>0</v>
      </c>
      <c r="AS19" s="25">
        <f t="shared" si="4"/>
        <v>0</v>
      </c>
      <c r="AT19" s="25">
        <f t="shared" si="5"/>
        <v>0</v>
      </c>
      <c r="AU19" s="29">
        <f t="shared" si="85"/>
        <v>0</v>
      </c>
      <c r="AV19" s="27">
        <f t="shared" si="40"/>
        <v>0</v>
      </c>
      <c r="AW19" s="27">
        <f t="shared" si="41"/>
        <v>0</v>
      </c>
      <c r="AX19" s="27">
        <f t="shared" si="42"/>
        <v>0</v>
      </c>
      <c r="AY19" s="27">
        <f t="shared" si="43"/>
        <v>0</v>
      </c>
      <c r="AZ19" s="2" t="str">
        <f t="shared" si="44"/>
        <v/>
      </c>
      <c r="BA19" s="2" t="str">
        <f t="shared" si="45"/>
        <v/>
      </c>
      <c r="BB19" s="2" t="str">
        <f t="shared" si="46"/>
        <v/>
      </c>
      <c r="BC19" s="2" t="str">
        <f t="shared" si="47"/>
        <v/>
      </c>
      <c r="BD19" s="2" t="str">
        <f t="shared" si="86"/>
        <v/>
      </c>
      <c r="BE19" s="2" t="str">
        <f t="shared" si="48"/>
        <v/>
      </c>
      <c r="BF19" s="2" t="str">
        <f t="shared" si="49"/>
        <v/>
      </c>
      <c r="BG19" s="2" t="str">
        <f t="shared" si="50"/>
        <v/>
      </c>
      <c r="BH19" s="2">
        <f t="shared" si="51"/>
        <v>0</v>
      </c>
      <c r="BI19" s="298" t="str">
        <f t="shared" si="87"/>
        <v/>
      </c>
      <c r="BJ19" s="298" t="str">
        <f t="shared" si="52"/>
        <v/>
      </c>
      <c r="BK19" s="335" t="str">
        <f ca="1">IF(BM18&lt;&gt;"",IF(MIN(OFFSET($BI$3,BM18+2,0):BI383)=0,"",MIN(OFFSET($BI$3,BM18+2,0):BI383)),"")</f>
        <v/>
      </c>
      <c r="BL19" s="301" t="str">
        <f ca="1">IF(BN18&lt;&gt;"",IF(MIN(OFFSET($BJ$3,BN18+2,0):BJ382)=0,IF(BK19&lt;&gt;"",$BL$1,""),MIN(OFFSET($BJ$3,BN18+2,0):BJ382)),"")</f>
        <v/>
      </c>
      <c r="BM19" s="302" t="str">
        <f t="shared" ca="1" si="53"/>
        <v/>
      </c>
      <c r="BN19" s="302" t="str">
        <f t="shared" ca="1" si="54"/>
        <v/>
      </c>
      <c r="BO19" s="336" t="str">
        <f t="shared" ca="1" si="88"/>
        <v/>
      </c>
      <c r="BP19" s="337" t="str">
        <f t="shared" ca="1" si="91"/>
        <v/>
      </c>
      <c r="BQ19" s="4">
        <f t="shared" si="55"/>
        <v>45123</v>
      </c>
      <c r="BR19" s="112">
        <f t="shared" si="56"/>
        <v>0</v>
      </c>
      <c r="BS19" s="112">
        <f t="shared" si="57"/>
        <v>0</v>
      </c>
      <c r="BT19" s="112">
        <f t="shared" si="58"/>
        <v>0</v>
      </c>
      <c r="BU19" s="112">
        <f t="shared" si="59"/>
        <v>0</v>
      </c>
      <c r="BV19" s="112">
        <f t="shared" si="60"/>
        <v>0</v>
      </c>
      <c r="BX19" s="343" t="str">
        <f t="shared" ca="1" si="61"/>
        <v/>
      </c>
      <c r="BY19" s="343" t="str">
        <f t="shared" ca="1" si="62"/>
        <v/>
      </c>
      <c r="CA19" s="301" t="str">
        <f t="shared" ca="1" si="92"/>
        <v/>
      </c>
      <c r="CB19" s="301" t="str">
        <f t="shared" ca="1" si="89"/>
        <v/>
      </c>
      <c r="CC19" s="2" t="str">
        <f t="shared" ca="1" si="90"/>
        <v/>
      </c>
      <c r="CD19" s="2">
        <v>8</v>
      </c>
      <c r="CE19" s="2" t="str">
        <f t="shared" ca="1" si="63"/>
        <v/>
      </c>
      <c r="CF19" s="2" t="str">
        <f t="shared" ca="1" si="64"/>
        <v/>
      </c>
      <c r="CI19" s="4">
        <f t="shared" si="65"/>
        <v>45123</v>
      </c>
      <c r="CJ19" s="50">
        <f ca="1">IF($BH19=0,IF($CO19="",CJ18+R19,IF('283'!$K$251=1,VLOOKUP($CO19,PerStBal,2)+R19,IF('283'!$K$253=1,(VLOOKUP($CO19,PerPortion,2)*VLOOKUP($CO19,PerStBal,6))+R19,GL!BS19))),0)</f>
        <v>0</v>
      </c>
      <c r="CK19" s="425">
        <f ca="1">IF($BH19=0,IF($CO19="",CK18+T19,IF('283'!$K$251=1,IF(mname2&lt;&gt;"",VLOOKUP($CO19,PerStBal,3)+T19,0),IF('283'!$K$253=1,(VLOOKUP($CO19,PerPortion,3)*VLOOKUP($CO19,PerStBal,6))+T19,GL!BT19))),0)</f>
        <v>0</v>
      </c>
      <c r="CL19" s="425">
        <f ca="1">IF($BH19=0,IF($CO19="",CL18+V19,IF('283'!$K$251=1,IF(mname3&lt;&gt;"",VLOOKUP($CO19,PerStBal,4)+V19,0),IF('283'!$K$253=1,(VLOOKUP($CO19,PerPortion,4)*VLOOKUP($CO19,PerStBal,6))+V19,GL!BU19))),0)</f>
        <v>0</v>
      </c>
      <c r="CM19" s="425">
        <f ca="1">IF($BH19=0,IF($CO19="",CM18+X19,IF('283'!$K$251=1,IF(mname4&lt;&gt;"",VLOOKUP($CO19,PerStBal,5)+X19,0),IF('283'!$K$253=1,(VLOOKUP($CO19,PerPortion,5)*VLOOKUP($CO19,PerStBal,6))+X19,GL!BV19))),0)</f>
        <v>0</v>
      </c>
      <c r="CN19" s="50">
        <f t="shared" ca="1" si="66"/>
        <v>0</v>
      </c>
      <c r="CO19" s="4" t="str">
        <f t="shared" ca="1" si="67"/>
        <v/>
      </c>
      <c r="CP19" s="377">
        <f t="shared" si="7"/>
        <v>0</v>
      </c>
      <c r="CR19" s="4"/>
      <c r="CS19" s="4"/>
      <c r="CT19" s="302"/>
      <c r="CU19" s="302"/>
      <c r="CV19" s="67"/>
      <c r="CW19" s="67"/>
      <c r="CX19" s="67"/>
      <c r="CY19" s="67"/>
      <c r="CZ19" s="113"/>
      <c r="DA19" s="113"/>
      <c r="DB19" s="383"/>
      <c r="DC19" s="383"/>
      <c r="DD19" s="383"/>
      <c r="DE19" s="383"/>
      <c r="DI19" s="4">
        <f t="shared" si="70"/>
        <v>45123</v>
      </c>
      <c r="DJ19" s="112">
        <f t="shared" ca="1" si="71"/>
        <v>0</v>
      </c>
      <c r="DK19" s="112">
        <f t="shared" si="72"/>
        <v>0</v>
      </c>
      <c r="DL19" s="4">
        <f t="shared" si="73"/>
        <v>45123</v>
      </c>
      <c r="DM19" s="112">
        <f t="shared" ca="1" si="74"/>
        <v>0</v>
      </c>
      <c r="DN19" s="112">
        <f t="shared" si="75"/>
        <v>0</v>
      </c>
      <c r="DO19" s="4">
        <f t="shared" si="76"/>
        <v>45123</v>
      </c>
      <c r="DP19" s="112">
        <f t="shared" ca="1" si="77"/>
        <v>0</v>
      </c>
      <c r="DQ19" s="112">
        <f t="shared" si="78"/>
        <v>0</v>
      </c>
      <c r="DR19" s="4">
        <f t="shared" si="79"/>
        <v>45123</v>
      </c>
      <c r="DS19" s="112">
        <f t="shared" ca="1" si="80"/>
        <v>0</v>
      </c>
      <c r="DT19" s="112">
        <f t="shared" si="81"/>
        <v>0</v>
      </c>
      <c r="DU19" s="4">
        <f t="shared" si="82"/>
        <v>45123</v>
      </c>
      <c r="DV19" s="112">
        <f t="shared" si="83"/>
        <v>0</v>
      </c>
      <c r="DW19" s="112">
        <f t="shared" si="84"/>
        <v>0</v>
      </c>
    </row>
    <row r="20" spans="2:127" x14ac:dyDescent="0.25">
      <c r="B20" s="39" t="str">
        <f>IF(LEFT('283'!B127,1)="R","Benefits Paid","")</f>
        <v/>
      </c>
      <c r="C20" s="3" t="str">
        <f>IF(B20&lt;&gt;"",IF('283'!C127&lt;&gt;"",'283'!C127,""),"")</f>
        <v/>
      </c>
      <c r="D20" s="40" t="str">
        <f>IF($B20&lt;&gt;"",IF('283'!D127&lt;&gt;"",'283'!D127,""),"")</f>
        <v/>
      </c>
      <c r="E20" s="40" t="str">
        <f>IF($B20&lt;&gt;"",IF('283'!E127&lt;&gt;"",'283'!E127,""),"")</f>
        <v/>
      </c>
      <c r="F20" s="40" t="str">
        <f>IF($B20&lt;&gt;"",IF('283'!F127&lt;&gt;"",'283'!F127,""),"")</f>
        <v/>
      </c>
      <c r="G20" s="41" t="str">
        <f>IF($B20&lt;&gt;"",IF('283'!G127&lt;&gt;"",'283'!G127,""),"")</f>
        <v/>
      </c>
      <c r="H20" s="23">
        <v>16</v>
      </c>
      <c r="I20" s="42" t="str">
        <f>IF(AND(LEFT('283'!B127,1)&lt;&gt;"R",LEFT('283'!B127,1)&lt;&gt;""),'283'!B127,"")</f>
        <v/>
      </c>
      <c r="J20" s="3" t="str">
        <f>IF(I20&lt;&gt;"",IF('283'!C127&lt;&gt;"",'283'!C127,""),"")</f>
        <v/>
      </c>
      <c r="K20" s="40" t="str">
        <f>IF($I20&lt;&gt;"",IF('283'!D127&lt;&gt;"",IF(LEFT($I20,1)="N",-'283'!D127,'283'!D127),""),"")</f>
        <v/>
      </c>
      <c r="L20" s="40" t="str">
        <f>IF($I20&lt;&gt;"",IF('283'!E127&lt;&gt;"",IF(LEFT($I20,1)="N",-'283'!E127,'283'!E127),""),"")</f>
        <v/>
      </c>
      <c r="M20" s="40" t="str">
        <f>IF($I20&lt;&gt;"",IF('283'!F127&lt;&gt;"",IF(LEFT($I20,1)="N",-'283'!F127,'283'!F127),""),"")</f>
        <v/>
      </c>
      <c r="N20" s="40" t="str">
        <f>IF($I20&lt;&gt;"",IF('283'!G127&lt;&gt;"",IF(LEFT($I20,1)="N",-'283'!G127,'283'!G127),""),"")</f>
        <v/>
      </c>
      <c r="O20" s="43"/>
      <c r="P20" s="38"/>
      <c r="Q20" s="4">
        <f t="shared" si="16"/>
        <v>45124</v>
      </c>
      <c r="R20" s="24">
        <f t="shared" si="17"/>
        <v>0</v>
      </c>
      <c r="S20" s="25">
        <f t="shared" si="18"/>
        <v>0</v>
      </c>
      <c r="T20" s="24">
        <f t="shared" si="19"/>
        <v>0</v>
      </c>
      <c r="U20" s="25">
        <f t="shared" si="20"/>
        <v>0</v>
      </c>
      <c r="V20" s="24">
        <f t="shared" si="21"/>
        <v>0</v>
      </c>
      <c r="W20" s="25">
        <f t="shared" si="22"/>
        <v>0</v>
      </c>
      <c r="X20" s="24">
        <f t="shared" si="23"/>
        <v>0</v>
      </c>
      <c r="Y20" s="26">
        <f t="shared" si="24"/>
        <v>0</v>
      </c>
      <c r="Z20" s="27">
        <f t="shared" si="25"/>
        <v>0</v>
      </c>
      <c r="AA20" s="28">
        <f t="shared" si="26"/>
        <v>45124</v>
      </c>
      <c r="AB20" s="24">
        <f t="shared" si="27"/>
        <v>0</v>
      </c>
      <c r="AC20" s="25">
        <f t="shared" si="28"/>
        <v>0</v>
      </c>
      <c r="AD20" s="28">
        <f t="shared" si="29"/>
        <v>45124</v>
      </c>
      <c r="AE20" s="24">
        <f t="shared" si="30"/>
        <v>0</v>
      </c>
      <c r="AF20" s="25">
        <f t="shared" si="31"/>
        <v>0</v>
      </c>
      <c r="AG20" s="28">
        <f t="shared" si="32"/>
        <v>45124</v>
      </c>
      <c r="AH20" s="24">
        <f t="shared" si="33"/>
        <v>0</v>
      </c>
      <c r="AI20" s="25">
        <f t="shared" si="34"/>
        <v>0</v>
      </c>
      <c r="AJ20" s="28">
        <f t="shared" si="35"/>
        <v>45124</v>
      </c>
      <c r="AK20" s="24">
        <f t="shared" si="36"/>
        <v>0</v>
      </c>
      <c r="AL20" s="25">
        <f t="shared" si="37"/>
        <v>0</v>
      </c>
      <c r="AM20" s="29">
        <f t="shared" si="38"/>
        <v>0</v>
      </c>
      <c r="AN20" s="28">
        <f t="shared" si="39"/>
        <v>45124</v>
      </c>
      <c r="AO20" s="373">
        <f t="shared" si="0"/>
        <v>0</v>
      </c>
      <c r="AP20" s="374">
        <f t="shared" si="1"/>
        <v>0</v>
      </c>
      <c r="AQ20" s="27">
        <f t="shared" si="2"/>
        <v>0</v>
      </c>
      <c r="AR20" s="25">
        <f t="shared" si="3"/>
        <v>0</v>
      </c>
      <c r="AS20" s="25">
        <f t="shared" si="4"/>
        <v>0</v>
      </c>
      <c r="AT20" s="25">
        <f t="shared" si="5"/>
        <v>0</v>
      </c>
      <c r="AU20" s="29">
        <f t="shared" si="85"/>
        <v>0</v>
      </c>
      <c r="AV20" s="27">
        <f t="shared" si="40"/>
        <v>0</v>
      </c>
      <c r="AW20" s="27">
        <f t="shared" si="41"/>
        <v>0</v>
      </c>
      <c r="AX20" s="27">
        <f t="shared" si="42"/>
        <v>0</v>
      </c>
      <c r="AY20" s="27">
        <f t="shared" si="43"/>
        <v>0</v>
      </c>
      <c r="AZ20" s="2" t="str">
        <f t="shared" si="44"/>
        <v/>
      </c>
      <c r="BA20" s="2" t="str">
        <f t="shared" si="45"/>
        <v/>
      </c>
      <c r="BB20" s="2" t="str">
        <f t="shared" si="46"/>
        <v/>
      </c>
      <c r="BC20" s="2" t="str">
        <f t="shared" si="47"/>
        <v/>
      </c>
      <c r="BD20" s="2" t="str">
        <f t="shared" si="86"/>
        <v/>
      </c>
      <c r="BE20" s="2" t="str">
        <f t="shared" si="48"/>
        <v/>
      </c>
      <c r="BF20" s="2" t="str">
        <f t="shared" si="49"/>
        <v/>
      </c>
      <c r="BG20" s="2" t="str">
        <f t="shared" si="50"/>
        <v/>
      </c>
      <c r="BH20" s="2">
        <f t="shared" si="51"/>
        <v>0</v>
      </c>
      <c r="BI20" s="298" t="str">
        <f t="shared" si="87"/>
        <v/>
      </c>
      <c r="BJ20" s="298" t="str">
        <f t="shared" si="52"/>
        <v/>
      </c>
      <c r="BK20" s="335" t="str">
        <f ca="1">IF(BM19&lt;&gt;"",IF(MIN(OFFSET($BI$3,BM19+2,0):BI384)=0,"",MIN(OFFSET($BI$3,BM19+2,0):BI384)),"")</f>
        <v/>
      </c>
      <c r="BL20" s="301" t="str">
        <f ca="1">IF(BN19&lt;&gt;"",IF(MIN(OFFSET($BJ$3,BN19+2,0):BJ383)=0,IF(BK20&lt;&gt;"",$BL$1,""),MIN(OFFSET($BJ$3,BN19+2,0):BJ383)),"")</f>
        <v/>
      </c>
      <c r="BM20" s="302" t="str">
        <f t="shared" ca="1" si="53"/>
        <v/>
      </c>
      <c r="BN20" s="302" t="str">
        <f t="shared" ca="1" si="54"/>
        <v/>
      </c>
      <c r="BO20" s="336" t="str">
        <f t="shared" ca="1" si="88"/>
        <v/>
      </c>
      <c r="BP20" s="337" t="str">
        <f t="shared" ca="1" si="91"/>
        <v/>
      </c>
      <c r="BQ20" s="4">
        <f t="shared" si="55"/>
        <v>45124</v>
      </c>
      <c r="BR20" s="112">
        <f t="shared" si="56"/>
        <v>0</v>
      </c>
      <c r="BS20" s="112">
        <f t="shared" si="57"/>
        <v>0</v>
      </c>
      <c r="BT20" s="112">
        <f t="shared" si="58"/>
        <v>0</v>
      </c>
      <c r="BU20" s="112">
        <f t="shared" si="59"/>
        <v>0</v>
      </c>
      <c r="BV20" s="112">
        <f t="shared" si="60"/>
        <v>0</v>
      </c>
      <c r="BX20" s="343" t="str">
        <f t="shared" ca="1" si="61"/>
        <v/>
      </c>
      <c r="BY20" s="343" t="str">
        <f t="shared" ca="1" si="62"/>
        <v/>
      </c>
      <c r="CA20" s="301" t="str">
        <f t="shared" ca="1" si="92"/>
        <v/>
      </c>
      <c r="CB20" s="301" t="str">
        <f t="shared" ca="1" si="89"/>
        <v/>
      </c>
      <c r="CC20" s="2" t="str">
        <f t="shared" ca="1" si="90"/>
        <v/>
      </c>
      <c r="CI20" s="4">
        <f t="shared" si="65"/>
        <v>45124</v>
      </c>
      <c r="CJ20" s="50">
        <f ca="1">IF($BH20=0,IF($CO20="",CJ19+R20,IF('283'!$K$251=1,VLOOKUP($CO20,PerStBal,2)+R20,IF('283'!$K$253=1,(VLOOKUP($CO20,PerPortion,2)*VLOOKUP($CO20,PerStBal,6))+R20,GL!BS20))),0)</f>
        <v>0</v>
      </c>
      <c r="CK20" s="425">
        <f ca="1">IF($BH20=0,IF($CO20="",CK19+T20,IF('283'!$K$251=1,IF(mname2&lt;&gt;"",VLOOKUP($CO20,PerStBal,3)+T20,0),IF('283'!$K$253=1,(VLOOKUP($CO20,PerPortion,3)*VLOOKUP($CO20,PerStBal,6))+T20,GL!BT20))),0)</f>
        <v>0</v>
      </c>
      <c r="CL20" s="425">
        <f ca="1">IF($BH20=0,IF($CO20="",CL19+V20,IF('283'!$K$251=1,IF(mname3&lt;&gt;"",VLOOKUP($CO20,PerStBal,4)+V20,0),IF('283'!$K$253=1,(VLOOKUP($CO20,PerPortion,4)*VLOOKUP($CO20,PerStBal,6))+V20,GL!BU20))),0)</f>
        <v>0</v>
      </c>
      <c r="CM20" s="425">
        <f ca="1">IF($BH20=0,IF($CO20="",CM19+X20,IF('283'!$K$251=1,IF(mname4&lt;&gt;"",VLOOKUP($CO20,PerStBal,5)+X20,0),IF('283'!$K$253=1,(VLOOKUP($CO20,PerPortion,5)*VLOOKUP($CO20,PerStBal,6))+X20,GL!BV20))),0)</f>
        <v>0</v>
      </c>
      <c r="CN20" s="50">
        <f t="shared" ca="1" si="66"/>
        <v>0</v>
      </c>
      <c r="CO20" s="4" t="str">
        <f t="shared" ca="1" si="67"/>
        <v/>
      </c>
      <c r="CP20" s="377">
        <f t="shared" si="7"/>
        <v>0</v>
      </c>
      <c r="CR20" s="4"/>
      <c r="CS20" s="4"/>
      <c r="CT20" s="302"/>
      <c r="CU20" s="302"/>
      <c r="CV20" s="67"/>
      <c r="CW20" s="67"/>
      <c r="CX20" s="67"/>
      <c r="CY20" s="67"/>
      <c r="CZ20" s="113"/>
      <c r="DA20" s="113"/>
      <c r="DB20" s="383"/>
      <c r="DC20" s="383"/>
      <c r="DD20" s="383"/>
      <c r="DE20" s="383"/>
      <c r="DI20" s="4">
        <f t="shared" si="70"/>
        <v>45124</v>
      </c>
      <c r="DJ20" s="112">
        <f t="shared" ca="1" si="71"/>
        <v>0</v>
      </c>
      <c r="DK20" s="112">
        <f t="shared" si="72"/>
        <v>0</v>
      </c>
      <c r="DL20" s="4">
        <f t="shared" si="73"/>
        <v>45124</v>
      </c>
      <c r="DM20" s="112">
        <f t="shared" ca="1" si="74"/>
        <v>0</v>
      </c>
      <c r="DN20" s="112">
        <f t="shared" si="75"/>
        <v>0</v>
      </c>
      <c r="DO20" s="4">
        <f t="shared" si="76"/>
        <v>45124</v>
      </c>
      <c r="DP20" s="112">
        <f t="shared" ca="1" si="77"/>
        <v>0</v>
      </c>
      <c r="DQ20" s="112">
        <f t="shared" si="78"/>
        <v>0</v>
      </c>
      <c r="DR20" s="4">
        <f t="shared" si="79"/>
        <v>45124</v>
      </c>
      <c r="DS20" s="112">
        <f t="shared" ca="1" si="80"/>
        <v>0</v>
      </c>
      <c r="DT20" s="112">
        <f t="shared" si="81"/>
        <v>0</v>
      </c>
      <c r="DU20" s="4">
        <f t="shared" si="82"/>
        <v>45124</v>
      </c>
      <c r="DV20" s="112">
        <f t="shared" si="83"/>
        <v>0</v>
      </c>
      <c r="DW20" s="112">
        <f t="shared" si="84"/>
        <v>0</v>
      </c>
    </row>
    <row r="21" spans="2:127" x14ac:dyDescent="0.25">
      <c r="B21" s="39" t="str">
        <f>IF(LEFT('283'!B128,1)="R","Benefits Paid","")</f>
        <v/>
      </c>
      <c r="C21" s="3" t="str">
        <f>IF(B21&lt;&gt;"",IF('283'!C128&lt;&gt;"",'283'!C128,""),"")</f>
        <v/>
      </c>
      <c r="D21" s="40" t="str">
        <f>IF($B21&lt;&gt;"",IF('283'!D128&lt;&gt;"",'283'!D128,""),"")</f>
        <v/>
      </c>
      <c r="E21" s="40" t="str">
        <f>IF($B21&lt;&gt;"",IF('283'!E128&lt;&gt;"",'283'!E128,""),"")</f>
        <v/>
      </c>
      <c r="F21" s="40" t="str">
        <f>IF($B21&lt;&gt;"",IF('283'!F128&lt;&gt;"",'283'!F128,""),"")</f>
        <v/>
      </c>
      <c r="G21" s="41" t="str">
        <f>IF($B21&lt;&gt;"",IF('283'!G128&lt;&gt;"",'283'!G128,""),"")</f>
        <v/>
      </c>
      <c r="H21" s="23">
        <v>17</v>
      </c>
      <c r="I21" s="42" t="str">
        <f>IF(AND(LEFT('283'!B128,1)&lt;&gt;"R",LEFT('283'!B128,1)&lt;&gt;""),'283'!B128,"")</f>
        <v/>
      </c>
      <c r="J21" s="3" t="str">
        <f>IF(I21&lt;&gt;"",IF('283'!C128&lt;&gt;"",'283'!C128,""),"")</f>
        <v/>
      </c>
      <c r="K21" s="40" t="str">
        <f>IF($I21&lt;&gt;"",IF('283'!D128&lt;&gt;"",IF(LEFT($I21,1)="N",-'283'!D128,'283'!D128),""),"")</f>
        <v/>
      </c>
      <c r="L21" s="40" t="str">
        <f>IF($I21&lt;&gt;"",IF('283'!E128&lt;&gt;"",IF(LEFT($I21,1)="N",-'283'!E128,'283'!E128),""),"")</f>
        <v/>
      </c>
      <c r="M21" s="40" t="str">
        <f>IF($I21&lt;&gt;"",IF('283'!F128&lt;&gt;"",IF(LEFT($I21,1)="N",-'283'!F128,'283'!F128),""),"")</f>
        <v/>
      </c>
      <c r="N21" s="40" t="str">
        <f>IF($I21&lt;&gt;"",IF('283'!G128&lt;&gt;"",IF(LEFT($I21,1)="N",-'283'!G128,'283'!G128),""),"")</f>
        <v/>
      </c>
      <c r="O21" s="43"/>
      <c r="P21" s="38"/>
      <c r="Q21" s="4">
        <f t="shared" si="16"/>
        <v>45125</v>
      </c>
      <c r="R21" s="24">
        <f t="shared" si="17"/>
        <v>0</v>
      </c>
      <c r="S21" s="25">
        <f t="shared" si="18"/>
        <v>0</v>
      </c>
      <c r="T21" s="24">
        <f t="shared" si="19"/>
        <v>0</v>
      </c>
      <c r="U21" s="25">
        <f t="shared" si="20"/>
        <v>0</v>
      </c>
      <c r="V21" s="24">
        <f t="shared" si="21"/>
        <v>0</v>
      </c>
      <c r="W21" s="25">
        <f t="shared" si="22"/>
        <v>0</v>
      </c>
      <c r="X21" s="24">
        <f t="shared" si="23"/>
        <v>0</v>
      </c>
      <c r="Y21" s="26">
        <f t="shared" si="24"/>
        <v>0</v>
      </c>
      <c r="Z21" s="27">
        <f t="shared" si="25"/>
        <v>0</v>
      </c>
      <c r="AA21" s="28">
        <f t="shared" si="26"/>
        <v>45125</v>
      </c>
      <c r="AB21" s="24">
        <f t="shared" si="27"/>
        <v>0</v>
      </c>
      <c r="AC21" s="25">
        <f t="shared" si="28"/>
        <v>0</v>
      </c>
      <c r="AD21" s="28">
        <f t="shared" si="29"/>
        <v>45125</v>
      </c>
      <c r="AE21" s="24">
        <f t="shared" si="30"/>
        <v>0</v>
      </c>
      <c r="AF21" s="25">
        <f t="shared" si="31"/>
        <v>0</v>
      </c>
      <c r="AG21" s="28">
        <f t="shared" si="32"/>
        <v>45125</v>
      </c>
      <c r="AH21" s="24">
        <f t="shared" si="33"/>
        <v>0</v>
      </c>
      <c r="AI21" s="25">
        <f t="shared" si="34"/>
        <v>0</v>
      </c>
      <c r="AJ21" s="28">
        <f t="shared" si="35"/>
        <v>45125</v>
      </c>
      <c r="AK21" s="24">
        <f t="shared" si="36"/>
        <v>0</v>
      </c>
      <c r="AL21" s="25">
        <f t="shared" si="37"/>
        <v>0</v>
      </c>
      <c r="AM21" s="29">
        <f t="shared" si="38"/>
        <v>0</v>
      </c>
      <c r="AN21" s="28">
        <f t="shared" si="39"/>
        <v>45125</v>
      </c>
      <c r="AO21" s="373">
        <f t="shared" si="0"/>
        <v>0</v>
      </c>
      <c r="AP21" s="374">
        <f t="shared" si="1"/>
        <v>0</v>
      </c>
      <c r="AQ21" s="27">
        <f t="shared" si="2"/>
        <v>0</v>
      </c>
      <c r="AR21" s="25">
        <f t="shared" si="3"/>
        <v>0</v>
      </c>
      <c r="AS21" s="25">
        <f t="shared" si="4"/>
        <v>0</v>
      </c>
      <c r="AT21" s="25">
        <f t="shared" si="5"/>
        <v>0</v>
      </c>
      <c r="AU21" s="29">
        <f t="shared" si="85"/>
        <v>0</v>
      </c>
      <c r="AV21" s="27">
        <f t="shared" si="40"/>
        <v>0</v>
      </c>
      <c r="AW21" s="27">
        <f t="shared" si="41"/>
        <v>0</v>
      </c>
      <c r="AX21" s="27">
        <f t="shared" si="42"/>
        <v>0</v>
      </c>
      <c r="AY21" s="27">
        <f t="shared" si="43"/>
        <v>0</v>
      </c>
      <c r="AZ21" s="2" t="str">
        <f t="shared" si="44"/>
        <v/>
      </c>
      <c r="BA21" s="2" t="str">
        <f t="shared" si="45"/>
        <v/>
      </c>
      <c r="BB21" s="2" t="str">
        <f t="shared" si="46"/>
        <v/>
      </c>
      <c r="BC21" s="2" t="str">
        <f t="shared" si="47"/>
        <v/>
      </c>
      <c r="BD21" s="2" t="str">
        <f t="shared" si="86"/>
        <v/>
      </c>
      <c r="BE21" s="2" t="str">
        <f t="shared" si="48"/>
        <v/>
      </c>
      <c r="BF21" s="2" t="str">
        <f t="shared" si="49"/>
        <v/>
      </c>
      <c r="BG21" s="2" t="str">
        <f t="shared" si="50"/>
        <v/>
      </c>
      <c r="BH21" s="2">
        <f t="shared" si="51"/>
        <v>0</v>
      </c>
      <c r="BI21" s="298" t="str">
        <f t="shared" si="87"/>
        <v/>
      </c>
      <c r="BJ21" s="298" t="str">
        <f t="shared" si="52"/>
        <v/>
      </c>
      <c r="BK21" s="335" t="str">
        <f ca="1">IF(BM20&lt;&gt;"",IF(MIN(OFFSET($BI$3,BM20+2,0):BI385)=0,"",MIN(OFFSET($BI$3,BM20+2,0):BI385)),"")</f>
        <v/>
      </c>
      <c r="BL21" s="301" t="str">
        <f ca="1">IF(BN20&lt;&gt;"",IF(MIN(OFFSET($BJ$3,BN20+2,0):BJ384)=0,IF(BK21&lt;&gt;"",$BL$1,""),MIN(OFFSET($BJ$3,BN20+2,0):BJ384)),"")</f>
        <v/>
      </c>
      <c r="BM21" s="302" t="str">
        <f t="shared" ca="1" si="53"/>
        <v/>
      </c>
      <c r="BN21" s="302" t="str">
        <f t="shared" ca="1" si="54"/>
        <v/>
      </c>
      <c r="BO21" s="336" t="str">
        <f t="shared" ca="1" si="88"/>
        <v/>
      </c>
      <c r="BP21" s="337" t="str">
        <f t="shared" ca="1" si="91"/>
        <v/>
      </c>
      <c r="BQ21" s="4">
        <f t="shared" si="55"/>
        <v>45125</v>
      </c>
      <c r="BR21" s="112">
        <f t="shared" si="56"/>
        <v>0</v>
      </c>
      <c r="BS21" s="112">
        <f t="shared" si="57"/>
        <v>0</v>
      </c>
      <c r="BT21" s="112">
        <f t="shared" si="58"/>
        <v>0</v>
      </c>
      <c r="BU21" s="112">
        <f t="shared" si="59"/>
        <v>0</v>
      </c>
      <c r="BV21" s="112">
        <f t="shared" si="60"/>
        <v>0</v>
      </c>
      <c r="BX21" s="343" t="str">
        <f t="shared" ca="1" si="61"/>
        <v/>
      </c>
      <c r="BY21" s="343" t="str">
        <f t="shared" ca="1" si="62"/>
        <v/>
      </c>
      <c r="CI21" s="4">
        <f t="shared" si="65"/>
        <v>45125</v>
      </c>
      <c r="CJ21" s="50">
        <f ca="1">IF($BH21=0,IF($CO21="",CJ20+R21,IF('283'!$K$251=1,VLOOKUP($CO21,PerStBal,2)+R21,IF('283'!$K$253=1,(VLOOKUP($CO21,PerPortion,2)*VLOOKUP($CO21,PerStBal,6))+R21,GL!BS21))),0)</f>
        <v>0</v>
      </c>
      <c r="CK21" s="425">
        <f ca="1">IF($BH21=0,IF($CO21="",CK20+T21,IF('283'!$K$251=1,IF(mname2&lt;&gt;"",VLOOKUP($CO21,PerStBal,3)+T21,0),IF('283'!$K$253=1,(VLOOKUP($CO21,PerPortion,3)*VLOOKUP($CO21,PerStBal,6))+T21,GL!BT21))),0)</f>
        <v>0</v>
      </c>
      <c r="CL21" s="425">
        <f ca="1">IF($BH21=0,IF($CO21="",CL20+V21,IF('283'!$K$251=1,IF(mname3&lt;&gt;"",VLOOKUP($CO21,PerStBal,4)+V21,0),IF('283'!$K$253=1,(VLOOKUP($CO21,PerPortion,4)*VLOOKUP($CO21,PerStBal,6))+V21,GL!BU21))),0)</f>
        <v>0</v>
      </c>
      <c r="CM21" s="425">
        <f ca="1">IF($BH21=0,IF($CO21="",CM20+X21,IF('283'!$K$251=1,IF(mname4&lt;&gt;"",VLOOKUP($CO21,PerStBal,5)+X21,0),IF('283'!$K$253=1,(VLOOKUP($CO21,PerPortion,5)*VLOOKUP($CO21,PerStBal,6))+X21,GL!BV21))),0)</f>
        <v>0</v>
      </c>
      <c r="CN21" s="50">
        <f t="shared" ca="1" si="66"/>
        <v>0</v>
      </c>
      <c r="CO21" s="4" t="str">
        <f t="shared" ca="1" si="67"/>
        <v/>
      </c>
      <c r="CP21" s="377">
        <f t="shared" si="7"/>
        <v>0</v>
      </c>
      <c r="DI21" s="4">
        <f t="shared" si="70"/>
        <v>45125</v>
      </c>
      <c r="DJ21" s="112">
        <f t="shared" ca="1" si="71"/>
        <v>0</v>
      </c>
      <c r="DK21" s="112">
        <f t="shared" si="72"/>
        <v>0</v>
      </c>
      <c r="DL21" s="4">
        <f t="shared" si="73"/>
        <v>45125</v>
      </c>
      <c r="DM21" s="112">
        <f t="shared" ca="1" si="74"/>
        <v>0</v>
      </c>
      <c r="DN21" s="112">
        <f t="shared" si="75"/>
        <v>0</v>
      </c>
      <c r="DO21" s="4">
        <f t="shared" si="76"/>
        <v>45125</v>
      </c>
      <c r="DP21" s="112">
        <f t="shared" ca="1" si="77"/>
        <v>0</v>
      </c>
      <c r="DQ21" s="112">
        <f t="shared" si="78"/>
        <v>0</v>
      </c>
      <c r="DR21" s="4">
        <f t="shared" si="79"/>
        <v>45125</v>
      </c>
      <c r="DS21" s="112">
        <f t="shared" ca="1" si="80"/>
        <v>0</v>
      </c>
      <c r="DT21" s="112">
        <f t="shared" si="81"/>
        <v>0</v>
      </c>
      <c r="DU21" s="4">
        <f t="shared" si="82"/>
        <v>45125</v>
      </c>
      <c r="DV21" s="112">
        <f t="shared" si="83"/>
        <v>0</v>
      </c>
      <c r="DW21" s="112">
        <f t="shared" si="84"/>
        <v>0</v>
      </c>
    </row>
    <row r="22" spans="2:127" x14ac:dyDescent="0.25">
      <c r="B22" s="39" t="str">
        <f>IF(LEFT('283'!B129,1)="R","Benefits Paid","")</f>
        <v/>
      </c>
      <c r="C22" s="3" t="str">
        <f>IF(B22&lt;&gt;"",IF('283'!C129&lt;&gt;"",'283'!C129,""),"")</f>
        <v/>
      </c>
      <c r="D22" s="40" t="str">
        <f>IF($B22&lt;&gt;"",IF('283'!D129&lt;&gt;"",'283'!D129,""),"")</f>
        <v/>
      </c>
      <c r="E22" s="40" t="str">
        <f>IF($B22&lt;&gt;"",IF('283'!E129&lt;&gt;"",'283'!E129,""),"")</f>
        <v/>
      </c>
      <c r="F22" s="40" t="str">
        <f>IF($B22&lt;&gt;"",IF('283'!F129&lt;&gt;"",'283'!F129,""),"")</f>
        <v/>
      </c>
      <c r="G22" s="41" t="str">
        <f>IF($B22&lt;&gt;"",IF('283'!G129&lt;&gt;"",'283'!G129,""),"")</f>
        <v/>
      </c>
      <c r="H22" s="23">
        <v>18</v>
      </c>
      <c r="I22" s="42" t="str">
        <f>IF(AND(LEFT('283'!B129,1)&lt;&gt;"R",LEFT('283'!B129,1)&lt;&gt;""),'283'!B129,"")</f>
        <v/>
      </c>
      <c r="J22" s="3" t="str">
        <f>IF(I22&lt;&gt;"",IF('283'!C129&lt;&gt;"",'283'!C129,""),"")</f>
        <v/>
      </c>
      <c r="K22" s="40" t="str">
        <f>IF($I22&lt;&gt;"",IF('283'!D129&lt;&gt;"",IF(LEFT($I22,1)="N",-'283'!D129,'283'!D129),""),"")</f>
        <v/>
      </c>
      <c r="L22" s="40" t="str">
        <f>IF($I22&lt;&gt;"",IF('283'!E129&lt;&gt;"",IF(LEFT($I22,1)="N",-'283'!E129,'283'!E129),""),"")</f>
        <v/>
      </c>
      <c r="M22" s="40" t="str">
        <f>IF($I22&lt;&gt;"",IF('283'!F129&lt;&gt;"",IF(LEFT($I22,1)="N",-'283'!F129,'283'!F129),""),"")</f>
        <v/>
      </c>
      <c r="N22" s="40" t="str">
        <f>IF($I22&lt;&gt;"",IF('283'!G129&lt;&gt;"",IF(LEFT($I22,1)="N",-'283'!G129,'283'!G129),""),"")</f>
        <v/>
      </c>
      <c r="O22" s="43"/>
      <c r="P22" s="38"/>
      <c r="Q22" s="4">
        <f t="shared" si="16"/>
        <v>45126</v>
      </c>
      <c r="R22" s="24">
        <f t="shared" si="17"/>
        <v>0</v>
      </c>
      <c r="S22" s="25">
        <f t="shared" si="18"/>
        <v>0</v>
      </c>
      <c r="T22" s="24">
        <f t="shared" si="19"/>
        <v>0</v>
      </c>
      <c r="U22" s="25">
        <f t="shared" si="20"/>
        <v>0</v>
      </c>
      <c r="V22" s="24">
        <f t="shared" si="21"/>
        <v>0</v>
      </c>
      <c r="W22" s="25">
        <f t="shared" si="22"/>
        <v>0</v>
      </c>
      <c r="X22" s="24">
        <f t="shared" si="23"/>
        <v>0</v>
      </c>
      <c r="Y22" s="26">
        <f t="shared" si="24"/>
        <v>0</v>
      </c>
      <c r="Z22" s="27">
        <f t="shared" si="25"/>
        <v>0</v>
      </c>
      <c r="AA22" s="28">
        <f t="shared" si="26"/>
        <v>45126</v>
      </c>
      <c r="AB22" s="24">
        <f t="shared" si="27"/>
        <v>0</v>
      </c>
      <c r="AC22" s="25">
        <f t="shared" si="28"/>
        <v>0</v>
      </c>
      <c r="AD22" s="28">
        <f t="shared" si="29"/>
        <v>45126</v>
      </c>
      <c r="AE22" s="24">
        <f t="shared" si="30"/>
        <v>0</v>
      </c>
      <c r="AF22" s="25">
        <f t="shared" si="31"/>
        <v>0</v>
      </c>
      <c r="AG22" s="28">
        <f t="shared" si="32"/>
        <v>45126</v>
      </c>
      <c r="AH22" s="24">
        <f t="shared" si="33"/>
        <v>0</v>
      </c>
      <c r="AI22" s="25">
        <f t="shared" si="34"/>
        <v>0</v>
      </c>
      <c r="AJ22" s="28">
        <f t="shared" si="35"/>
        <v>45126</v>
      </c>
      <c r="AK22" s="24">
        <f t="shared" si="36"/>
        <v>0</v>
      </c>
      <c r="AL22" s="25">
        <f t="shared" si="37"/>
        <v>0</v>
      </c>
      <c r="AM22" s="29">
        <f t="shared" si="38"/>
        <v>0</v>
      </c>
      <c r="AN22" s="28">
        <f t="shared" si="39"/>
        <v>45126</v>
      </c>
      <c r="AO22" s="373">
        <f t="shared" si="0"/>
        <v>0</v>
      </c>
      <c r="AP22" s="374">
        <f t="shared" si="1"/>
        <v>0</v>
      </c>
      <c r="AQ22" s="27">
        <f t="shared" si="2"/>
        <v>0</v>
      </c>
      <c r="AR22" s="25">
        <f t="shared" si="3"/>
        <v>0</v>
      </c>
      <c r="AS22" s="25">
        <f t="shared" si="4"/>
        <v>0</v>
      </c>
      <c r="AT22" s="25">
        <f t="shared" si="5"/>
        <v>0</v>
      </c>
      <c r="AU22" s="29">
        <f t="shared" si="85"/>
        <v>0</v>
      </c>
      <c r="AV22" s="27">
        <f t="shared" si="40"/>
        <v>0</v>
      </c>
      <c r="AW22" s="27">
        <f t="shared" si="41"/>
        <v>0</v>
      </c>
      <c r="AX22" s="27">
        <f t="shared" si="42"/>
        <v>0</v>
      </c>
      <c r="AY22" s="27">
        <f t="shared" si="43"/>
        <v>0</v>
      </c>
      <c r="AZ22" s="2" t="str">
        <f t="shared" si="44"/>
        <v/>
      </c>
      <c r="BA22" s="2" t="str">
        <f t="shared" si="45"/>
        <v/>
      </c>
      <c r="BB22" s="2" t="str">
        <f t="shared" si="46"/>
        <v/>
      </c>
      <c r="BC22" s="2" t="str">
        <f t="shared" si="47"/>
        <v/>
      </c>
      <c r="BD22" s="2" t="str">
        <f t="shared" si="86"/>
        <v/>
      </c>
      <c r="BE22" s="2" t="str">
        <f t="shared" si="48"/>
        <v/>
      </c>
      <c r="BF22" s="2" t="str">
        <f t="shared" si="49"/>
        <v/>
      </c>
      <c r="BG22" s="2" t="str">
        <f t="shared" si="50"/>
        <v/>
      </c>
      <c r="BH22" s="2">
        <f t="shared" si="51"/>
        <v>0</v>
      </c>
      <c r="BI22" s="298" t="str">
        <f t="shared" si="87"/>
        <v/>
      </c>
      <c r="BJ22" s="298" t="str">
        <f t="shared" si="52"/>
        <v/>
      </c>
      <c r="BK22" s="335" t="str">
        <f ca="1">IF(BM21&lt;&gt;"",IF(MIN(OFFSET($BI$3,BM21+2,0):BI386)=0,"",MIN(OFFSET($BI$3,BM21+2,0):BI386)),"")</f>
        <v/>
      </c>
      <c r="BL22" s="301" t="str">
        <f ca="1">IF(BN21&lt;&gt;"",IF(MIN(OFFSET($BJ$3,BN21+2,0):BJ385)=0,IF(BK22&lt;&gt;"",$BL$1,""),MIN(OFFSET($BJ$3,BN21+2,0):BJ385)),"")</f>
        <v/>
      </c>
      <c r="BM22" s="302" t="str">
        <f t="shared" ca="1" si="53"/>
        <v/>
      </c>
      <c r="BN22" s="302" t="str">
        <f t="shared" ca="1" si="54"/>
        <v/>
      </c>
      <c r="BO22" s="336" t="str">
        <f t="shared" ca="1" si="88"/>
        <v/>
      </c>
      <c r="BP22" s="337" t="str">
        <f t="shared" ca="1" si="91"/>
        <v/>
      </c>
      <c r="BQ22" s="4">
        <f t="shared" si="55"/>
        <v>45126</v>
      </c>
      <c r="BR22" s="112">
        <f t="shared" si="56"/>
        <v>0</v>
      </c>
      <c r="BS22" s="112">
        <f t="shared" si="57"/>
        <v>0</v>
      </c>
      <c r="BT22" s="112">
        <f t="shared" si="58"/>
        <v>0</v>
      </c>
      <c r="BU22" s="112">
        <f t="shared" si="59"/>
        <v>0</v>
      </c>
      <c r="BV22" s="112">
        <f t="shared" si="60"/>
        <v>0</v>
      </c>
      <c r="BX22" s="343" t="str">
        <f t="shared" ca="1" si="61"/>
        <v/>
      </c>
      <c r="BY22" s="343" t="str">
        <f t="shared" ca="1" si="62"/>
        <v/>
      </c>
      <c r="CI22" s="4">
        <f t="shared" si="65"/>
        <v>45126</v>
      </c>
      <c r="CJ22" s="50">
        <f ca="1">IF($BH22=0,IF($CO22="",CJ21+R22,IF('283'!$K$251=1,VLOOKUP($CO22,PerStBal,2)+R22,IF('283'!$K$253=1,(VLOOKUP($CO22,PerPortion,2)*VLOOKUP($CO22,PerStBal,6))+R22,GL!BS22))),0)</f>
        <v>0</v>
      </c>
      <c r="CK22" s="425">
        <f ca="1">IF($BH22=0,IF($CO22="",CK21+T22,IF('283'!$K$251=1,IF(mname2&lt;&gt;"",VLOOKUP($CO22,PerStBal,3)+T22,0),IF('283'!$K$253=1,(VLOOKUP($CO22,PerPortion,3)*VLOOKUP($CO22,PerStBal,6))+T22,GL!BT22))),0)</f>
        <v>0</v>
      </c>
      <c r="CL22" s="425">
        <f ca="1">IF($BH22=0,IF($CO22="",CL21+V22,IF('283'!$K$251=1,IF(mname3&lt;&gt;"",VLOOKUP($CO22,PerStBal,4)+V22,0),IF('283'!$K$253=1,(VLOOKUP($CO22,PerPortion,4)*VLOOKUP($CO22,PerStBal,6))+V22,GL!BU22))),0)</f>
        <v>0</v>
      </c>
      <c r="CM22" s="425">
        <f ca="1">IF($BH22=0,IF($CO22="",CM21+X22,IF('283'!$K$251=1,IF(mname4&lt;&gt;"",VLOOKUP($CO22,PerStBal,5)+X22,0),IF('283'!$K$253=1,(VLOOKUP($CO22,PerPortion,5)*VLOOKUP($CO22,PerStBal,6))+X22,GL!BV22))),0)</f>
        <v>0</v>
      </c>
      <c r="CN22" s="50">
        <f t="shared" ca="1" si="66"/>
        <v>0</v>
      </c>
      <c r="CO22" s="4" t="str">
        <f t="shared" ca="1" si="67"/>
        <v/>
      </c>
      <c r="CP22" s="377">
        <f t="shared" si="7"/>
        <v>0</v>
      </c>
      <c r="DI22" s="4">
        <f t="shared" si="70"/>
        <v>45126</v>
      </c>
      <c r="DJ22" s="112">
        <f t="shared" ca="1" si="71"/>
        <v>0</v>
      </c>
      <c r="DK22" s="112">
        <f t="shared" si="72"/>
        <v>0</v>
      </c>
      <c r="DL22" s="4">
        <f t="shared" si="73"/>
        <v>45126</v>
      </c>
      <c r="DM22" s="112">
        <f t="shared" ca="1" si="74"/>
        <v>0</v>
      </c>
      <c r="DN22" s="112">
        <f t="shared" si="75"/>
        <v>0</v>
      </c>
      <c r="DO22" s="4">
        <f t="shared" si="76"/>
        <v>45126</v>
      </c>
      <c r="DP22" s="112">
        <f t="shared" ca="1" si="77"/>
        <v>0</v>
      </c>
      <c r="DQ22" s="112">
        <f t="shared" si="78"/>
        <v>0</v>
      </c>
      <c r="DR22" s="4">
        <f t="shared" si="79"/>
        <v>45126</v>
      </c>
      <c r="DS22" s="112">
        <f t="shared" ca="1" si="80"/>
        <v>0</v>
      </c>
      <c r="DT22" s="112">
        <f t="shared" si="81"/>
        <v>0</v>
      </c>
      <c r="DU22" s="4">
        <f t="shared" si="82"/>
        <v>45126</v>
      </c>
      <c r="DV22" s="112">
        <f t="shared" si="83"/>
        <v>0</v>
      </c>
      <c r="DW22" s="112">
        <f t="shared" si="84"/>
        <v>0</v>
      </c>
    </row>
    <row r="23" spans="2:127" x14ac:dyDescent="0.25">
      <c r="B23" s="39" t="str">
        <f>IF(LEFT('283'!B130,1)="R","Benefits Paid","")</f>
        <v/>
      </c>
      <c r="C23" s="3" t="str">
        <f>IF(B23&lt;&gt;"",IF('283'!C130&lt;&gt;"",'283'!C130,""),"")</f>
        <v/>
      </c>
      <c r="D23" s="40" t="str">
        <f>IF($B23&lt;&gt;"",IF('283'!D130&lt;&gt;"",'283'!D130,""),"")</f>
        <v/>
      </c>
      <c r="E23" s="40" t="str">
        <f>IF($B23&lt;&gt;"",IF('283'!E130&lt;&gt;"",'283'!E130,""),"")</f>
        <v/>
      </c>
      <c r="F23" s="40" t="str">
        <f>IF($B23&lt;&gt;"",IF('283'!F130&lt;&gt;"",'283'!F130,""),"")</f>
        <v/>
      </c>
      <c r="G23" s="41" t="str">
        <f>IF($B23&lt;&gt;"",IF('283'!G130&lt;&gt;"",'283'!G130,""),"")</f>
        <v/>
      </c>
      <c r="H23" s="23">
        <v>19</v>
      </c>
      <c r="I23" s="42" t="str">
        <f>IF(AND(LEFT('283'!B130,1)&lt;&gt;"R",LEFT('283'!B130,1)&lt;&gt;""),'283'!B130,"")</f>
        <v/>
      </c>
      <c r="J23" s="3" t="str">
        <f>IF(I23&lt;&gt;"",IF('283'!C130&lt;&gt;"",'283'!C130,""),"")</f>
        <v/>
      </c>
      <c r="K23" s="40" t="str">
        <f>IF($I23&lt;&gt;"",IF('283'!D130&lt;&gt;"",IF(LEFT($I23,1)="N",-'283'!D130,'283'!D130),""),"")</f>
        <v/>
      </c>
      <c r="L23" s="40" t="str">
        <f>IF($I23&lt;&gt;"",IF('283'!E130&lt;&gt;"",IF(LEFT($I23,1)="N",-'283'!E130,'283'!E130),""),"")</f>
        <v/>
      </c>
      <c r="M23" s="40" t="str">
        <f>IF($I23&lt;&gt;"",IF('283'!F130&lt;&gt;"",IF(LEFT($I23,1)="N",-'283'!F130,'283'!F130),""),"")</f>
        <v/>
      </c>
      <c r="N23" s="40" t="str">
        <f>IF($I23&lt;&gt;"",IF('283'!G130&lt;&gt;"",IF(LEFT($I23,1)="N",-'283'!G130,'283'!G130),""),"")</f>
        <v/>
      </c>
      <c r="O23" s="43"/>
      <c r="P23" s="38"/>
      <c r="Q23" s="4">
        <f t="shared" si="16"/>
        <v>45127</v>
      </c>
      <c r="R23" s="24">
        <f t="shared" si="17"/>
        <v>0</v>
      </c>
      <c r="S23" s="25">
        <f t="shared" si="18"/>
        <v>0</v>
      </c>
      <c r="T23" s="24">
        <f t="shared" si="19"/>
        <v>0</v>
      </c>
      <c r="U23" s="25">
        <f t="shared" si="20"/>
        <v>0</v>
      </c>
      <c r="V23" s="24">
        <f t="shared" si="21"/>
        <v>0</v>
      </c>
      <c r="W23" s="25">
        <f t="shared" si="22"/>
        <v>0</v>
      </c>
      <c r="X23" s="24">
        <f t="shared" si="23"/>
        <v>0</v>
      </c>
      <c r="Y23" s="26">
        <f t="shared" si="24"/>
        <v>0</v>
      </c>
      <c r="Z23" s="27">
        <f t="shared" si="25"/>
        <v>0</v>
      </c>
      <c r="AA23" s="28">
        <f t="shared" si="26"/>
        <v>45127</v>
      </c>
      <c r="AB23" s="24">
        <f t="shared" si="27"/>
        <v>0</v>
      </c>
      <c r="AC23" s="25">
        <f t="shared" si="28"/>
        <v>0</v>
      </c>
      <c r="AD23" s="28">
        <f t="shared" si="29"/>
        <v>45127</v>
      </c>
      <c r="AE23" s="24">
        <f t="shared" si="30"/>
        <v>0</v>
      </c>
      <c r="AF23" s="25">
        <f t="shared" si="31"/>
        <v>0</v>
      </c>
      <c r="AG23" s="28">
        <f t="shared" si="32"/>
        <v>45127</v>
      </c>
      <c r="AH23" s="24">
        <f t="shared" si="33"/>
        <v>0</v>
      </c>
      <c r="AI23" s="25">
        <f t="shared" si="34"/>
        <v>0</v>
      </c>
      <c r="AJ23" s="28">
        <f t="shared" si="35"/>
        <v>45127</v>
      </c>
      <c r="AK23" s="24">
        <f t="shared" si="36"/>
        <v>0</v>
      </c>
      <c r="AL23" s="25">
        <f t="shared" si="37"/>
        <v>0</v>
      </c>
      <c r="AM23" s="29">
        <f t="shared" si="38"/>
        <v>0</v>
      </c>
      <c r="AN23" s="28">
        <f t="shared" si="39"/>
        <v>45127</v>
      </c>
      <c r="AO23" s="373">
        <f t="shared" si="0"/>
        <v>0</v>
      </c>
      <c r="AP23" s="374">
        <f t="shared" si="1"/>
        <v>0</v>
      </c>
      <c r="AQ23" s="27">
        <f t="shared" si="2"/>
        <v>0</v>
      </c>
      <c r="AR23" s="25">
        <f t="shared" si="3"/>
        <v>0</v>
      </c>
      <c r="AS23" s="25">
        <f t="shared" si="4"/>
        <v>0</v>
      </c>
      <c r="AT23" s="25">
        <f t="shared" si="5"/>
        <v>0</v>
      </c>
      <c r="AU23" s="29">
        <f t="shared" si="85"/>
        <v>0</v>
      </c>
      <c r="AV23" s="27">
        <f t="shared" si="40"/>
        <v>0</v>
      </c>
      <c r="AW23" s="27">
        <f t="shared" si="41"/>
        <v>0</v>
      </c>
      <c r="AX23" s="27">
        <f t="shared" si="42"/>
        <v>0</v>
      </c>
      <c r="AY23" s="27">
        <f t="shared" si="43"/>
        <v>0</v>
      </c>
      <c r="AZ23" s="2" t="str">
        <f t="shared" si="44"/>
        <v/>
      </c>
      <c r="BA23" s="2" t="str">
        <f t="shared" si="45"/>
        <v/>
      </c>
      <c r="BB23" s="2" t="str">
        <f t="shared" si="46"/>
        <v/>
      </c>
      <c r="BC23" s="2" t="str">
        <f t="shared" si="47"/>
        <v/>
      </c>
      <c r="BD23" s="2" t="str">
        <f t="shared" si="86"/>
        <v/>
      </c>
      <c r="BE23" s="2" t="str">
        <f t="shared" si="48"/>
        <v/>
      </c>
      <c r="BF23" s="2" t="str">
        <f t="shared" si="49"/>
        <v/>
      </c>
      <c r="BG23" s="2" t="str">
        <f t="shared" si="50"/>
        <v/>
      </c>
      <c r="BH23" s="2">
        <f t="shared" si="51"/>
        <v>0</v>
      </c>
      <c r="BI23" s="298" t="str">
        <f t="shared" si="87"/>
        <v/>
      </c>
      <c r="BJ23" s="298" t="str">
        <f t="shared" si="52"/>
        <v/>
      </c>
      <c r="BK23" s="335" t="str">
        <f ca="1">IF(BM22&lt;&gt;"",IF(MIN(OFFSET($BI$3,BM22+2,0):BI387)=0,"",MIN(OFFSET($BI$3,BM22+2,0):BI387)),"")</f>
        <v/>
      </c>
      <c r="BL23" s="301" t="str">
        <f ca="1">IF(BN22&lt;&gt;"",IF(MIN(OFFSET($BJ$3,BN22+2,0):BJ386)=0,IF(BK23&lt;&gt;"",$BL$1,""),MIN(OFFSET($BJ$3,BN22+2,0):BJ386)),"")</f>
        <v/>
      </c>
      <c r="BM23" s="302" t="str">
        <f t="shared" ca="1" si="53"/>
        <v/>
      </c>
      <c r="BN23" s="302" t="str">
        <f t="shared" ca="1" si="54"/>
        <v/>
      </c>
      <c r="BO23" s="336" t="str">
        <f t="shared" ca="1" si="88"/>
        <v/>
      </c>
      <c r="BP23" s="337" t="str">
        <f t="shared" ca="1" si="91"/>
        <v/>
      </c>
      <c r="BQ23" s="4">
        <f t="shared" si="55"/>
        <v>45127</v>
      </c>
      <c r="BR23" s="112">
        <f t="shared" si="56"/>
        <v>0</v>
      </c>
      <c r="BS23" s="112">
        <f t="shared" si="57"/>
        <v>0</v>
      </c>
      <c r="BT23" s="112">
        <f t="shared" si="58"/>
        <v>0</v>
      </c>
      <c r="BU23" s="112">
        <f t="shared" si="59"/>
        <v>0</v>
      </c>
      <c r="BV23" s="112">
        <f t="shared" si="60"/>
        <v>0</v>
      </c>
      <c r="BX23" s="343" t="str">
        <f t="shared" ca="1" si="61"/>
        <v/>
      </c>
      <c r="BY23" s="343" t="str">
        <f t="shared" ca="1" si="62"/>
        <v/>
      </c>
      <c r="CI23" s="4">
        <f t="shared" si="65"/>
        <v>45127</v>
      </c>
      <c r="CJ23" s="50">
        <f ca="1">IF($BH23=0,IF($CO23="",CJ22+R23,IF('283'!$K$251=1,VLOOKUP($CO23,PerStBal,2)+R23,IF('283'!$K$253=1,(VLOOKUP($CO23,PerPortion,2)*VLOOKUP($CO23,PerStBal,6))+R23,GL!BS23))),0)</f>
        <v>0</v>
      </c>
      <c r="CK23" s="425">
        <f ca="1">IF($BH23=0,IF($CO23="",CK22+T23,IF('283'!$K$251=1,IF(mname2&lt;&gt;"",VLOOKUP($CO23,PerStBal,3)+T23,0),IF('283'!$K$253=1,(VLOOKUP($CO23,PerPortion,3)*VLOOKUP($CO23,PerStBal,6))+T23,GL!BT23))),0)</f>
        <v>0</v>
      </c>
      <c r="CL23" s="425">
        <f ca="1">IF($BH23=0,IF($CO23="",CL22+V23,IF('283'!$K$251=1,IF(mname3&lt;&gt;"",VLOOKUP($CO23,PerStBal,4)+V23,0),IF('283'!$K$253=1,(VLOOKUP($CO23,PerPortion,4)*VLOOKUP($CO23,PerStBal,6))+V23,GL!BU23))),0)</f>
        <v>0</v>
      </c>
      <c r="CM23" s="425">
        <f ca="1">IF($BH23=0,IF($CO23="",CM22+X23,IF('283'!$K$251=1,IF(mname4&lt;&gt;"",VLOOKUP($CO23,PerStBal,5)+X23,0),IF('283'!$K$253=1,(VLOOKUP($CO23,PerPortion,5)*VLOOKUP($CO23,PerStBal,6))+X23,GL!BV23))),0)</f>
        <v>0</v>
      </c>
      <c r="CN23" s="50">
        <f t="shared" ca="1" si="66"/>
        <v>0</v>
      </c>
      <c r="CO23" s="4" t="str">
        <f t="shared" ca="1" si="67"/>
        <v/>
      </c>
      <c r="CP23" s="377">
        <f t="shared" si="7"/>
        <v>0</v>
      </c>
      <c r="DI23" s="4">
        <f t="shared" si="70"/>
        <v>45127</v>
      </c>
      <c r="DJ23" s="112">
        <f t="shared" ca="1" si="71"/>
        <v>0</v>
      </c>
      <c r="DK23" s="112">
        <f t="shared" si="72"/>
        <v>0</v>
      </c>
      <c r="DL23" s="4">
        <f t="shared" si="73"/>
        <v>45127</v>
      </c>
      <c r="DM23" s="112">
        <f t="shared" ca="1" si="74"/>
        <v>0</v>
      </c>
      <c r="DN23" s="112">
        <f t="shared" si="75"/>
        <v>0</v>
      </c>
      <c r="DO23" s="4">
        <f t="shared" si="76"/>
        <v>45127</v>
      </c>
      <c r="DP23" s="112">
        <f t="shared" ca="1" si="77"/>
        <v>0</v>
      </c>
      <c r="DQ23" s="112">
        <f t="shared" si="78"/>
        <v>0</v>
      </c>
      <c r="DR23" s="4">
        <f t="shared" si="79"/>
        <v>45127</v>
      </c>
      <c r="DS23" s="112">
        <f t="shared" ca="1" si="80"/>
        <v>0</v>
      </c>
      <c r="DT23" s="112">
        <f t="shared" si="81"/>
        <v>0</v>
      </c>
      <c r="DU23" s="4">
        <f t="shared" si="82"/>
        <v>45127</v>
      </c>
      <c r="DV23" s="112">
        <f t="shared" si="83"/>
        <v>0</v>
      </c>
      <c r="DW23" s="112">
        <f t="shared" si="84"/>
        <v>0</v>
      </c>
    </row>
    <row r="24" spans="2:127" x14ac:dyDescent="0.25">
      <c r="B24" s="39" t="str">
        <f>IF(LEFT('283'!B131,1)="R","Benefits Paid","")</f>
        <v/>
      </c>
      <c r="C24" s="3" t="str">
        <f>IF(B24&lt;&gt;"",IF('283'!C131&lt;&gt;"",'283'!C131,""),"")</f>
        <v/>
      </c>
      <c r="D24" s="40" t="str">
        <f>IF($B24&lt;&gt;"",IF('283'!D131&lt;&gt;"",'283'!D131,""),"")</f>
        <v/>
      </c>
      <c r="E24" s="40" t="str">
        <f>IF($B24&lt;&gt;"",IF('283'!E131&lt;&gt;"",'283'!E131,""),"")</f>
        <v/>
      </c>
      <c r="F24" s="40" t="str">
        <f>IF($B24&lt;&gt;"",IF('283'!F131&lt;&gt;"",'283'!F131,""),"")</f>
        <v/>
      </c>
      <c r="G24" s="41" t="str">
        <f>IF($B24&lt;&gt;"",IF('283'!G131&lt;&gt;"",'283'!G131,""),"")</f>
        <v/>
      </c>
      <c r="H24" s="23">
        <v>20</v>
      </c>
      <c r="I24" s="42" t="str">
        <f>IF(AND(LEFT('283'!B131,1)&lt;&gt;"R",LEFT('283'!B131,1)&lt;&gt;""),'283'!B131,"")</f>
        <v/>
      </c>
      <c r="J24" s="3" t="str">
        <f>IF(I24&lt;&gt;"",IF('283'!C131&lt;&gt;"",'283'!C131,""),"")</f>
        <v/>
      </c>
      <c r="K24" s="40" t="str">
        <f>IF($I24&lt;&gt;"",IF('283'!D131&lt;&gt;"",IF(LEFT($I24,1)="N",-'283'!D131,'283'!D131),""),"")</f>
        <v/>
      </c>
      <c r="L24" s="40" t="str">
        <f>IF($I24&lt;&gt;"",IF('283'!E131&lt;&gt;"",IF(LEFT($I24,1)="N",-'283'!E131,'283'!E131),""),"")</f>
        <v/>
      </c>
      <c r="M24" s="40" t="str">
        <f>IF($I24&lt;&gt;"",IF('283'!F131&lt;&gt;"",IF(LEFT($I24,1)="N",-'283'!F131,'283'!F131),""),"")</f>
        <v/>
      </c>
      <c r="N24" s="40" t="str">
        <f>IF($I24&lt;&gt;"",IF('283'!G131&lt;&gt;"",IF(LEFT($I24,1)="N",-'283'!G131,'283'!G131),""),"")</f>
        <v/>
      </c>
      <c r="O24" s="43"/>
      <c r="P24" s="38"/>
      <c r="Q24" s="4">
        <f t="shared" si="16"/>
        <v>45128</v>
      </c>
      <c r="R24" s="24">
        <f t="shared" si="17"/>
        <v>0</v>
      </c>
      <c r="S24" s="25">
        <f t="shared" si="18"/>
        <v>0</v>
      </c>
      <c r="T24" s="24">
        <f t="shared" si="19"/>
        <v>0</v>
      </c>
      <c r="U24" s="25">
        <f t="shared" si="20"/>
        <v>0</v>
      </c>
      <c r="V24" s="24">
        <f t="shared" si="21"/>
        <v>0</v>
      </c>
      <c r="W24" s="25">
        <f t="shared" si="22"/>
        <v>0</v>
      </c>
      <c r="X24" s="24">
        <f t="shared" si="23"/>
        <v>0</v>
      </c>
      <c r="Y24" s="26">
        <f t="shared" si="24"/>
        <v>0</v>
      </c>
      <c r="Z24" s="27">
        <f t="shared" si="25"/>
        <v>0</v>
      </c>
      <c r="AA24" s="28">
        <f t="shared" si="26"/>
        <v>45128</v>
      </c>
      <c r="AB24" s="24">
        <f t="shared" si="27"/>
        <v>0</v>
      </c>
      <c r="AC24" s="25">
        <f t="shared" si="28"/>
        <v>0</v>
      </c>
      <c r="AD24" s="28">
        <f t="shared" si="29"/>
        <v>45128</v>
      </c>
      <c r="AE24" s="24">
        <f t="shared" si="30"/>
        <v>0</v>
      </c>
      <c r="AF24" s="25">
        <f t="shared" si="31"/>
        <v>0</v>
      </c>
      <c r="AG24" s="28">
        <f t="shared" si="32"/>
        <v>45128</v>
      </c>
      <c r="AH24" s="24">
        <f t="shared" si="33"/>
        <v>0</v>
      </c>
      <c r="AI24" s="25">
        <f t="shared" si="34"/>
        <v>0</v>
      </c>
      <c r="AJ24" s="28">
        <f t="shared" si="35"/>
        <v>45128</v>
      </c>
      <c r="AK24" s="24">
        <f t="shared" si="36"/>
        <v>0</v>
      </c>
      <c r="AL24" s="25">
        <f t="shared" si="37"/>
        <v>0</v>
      </c>
      <c r="AM24" s="29">
        <f t="shared" si="38"/>
        <v>0</v>
      </c>
      <c r="AN24" s="28">
        <f t="shared" si="39"/>
        <v>45128</v>
      </c>
      <c r="AO24" s="373">
        <f t="shared" si="0"/>
        <v>0</v>
      </c>
      <c r="AP24" s="374">
        <f t="shared" si="1"/>
        <v>0</v>
      </c>
      <c r="AQ24" s="27">
        <f t="shared" si="2"/>
        <v>0</v>
      </c>
      <c r="AR24" s="25">
        <f t="shared" si="3"/>
        <v>0</v>
      </c>
      <c r="AS24" s="25">
        <f t="shared" si="4"/>
        <v>0</v>
      </c>
      <c r="AT24" s="25">
        <f t="shared" si="5"/>
        <v>0</v>
      </c>
      <c r="AU24" s="29">
        <f t="shared" si="85"/>
        <v>0</v>
      </c>
      <c r="AV24" s="27">
        <f t="shared" si="40"/>
        <v>0</v>
      </c>
      <c r="AW24" s="27">
        <f t="shared" si="41"/>
        <v>0</v>
      </c>
      <c r="AX24" s="27">
        <f t="shared" si="42"/>
        <v>0</v>
      </c>
      <c r="AY24" s="27">
        <f t="shared" si="43"/>
        <v>0</v>
      </c>
      <c r="AZ24" s="2" t="str">
        <f t="shared" si="44"/>
        <v/>
      </c>
      <c r="BA24" s="2" t="str">
        <f t="shared" si="45"/>
        <v/>
      </c>
      <c r="BB24" s="2" t="str">
        <f t="shared" si="46"/>
        <v/>
      </c>
      <c r="BC24" s="2" t="str">
        <f t="shared" si="47"/>
        <v/>
      </c>
      <c r="BD24" s="2" t="str">
        <f t="shared" si="86"/>
        <v/>
      </c>
      <c r="BE24" s="2" t="str">
        <f t="shared" si="48"/>
        <v/>
      </c>
      <c r="BF24" s="2" t="str">
        <f t="shared" si="49"/>
        <v/>
      </c>
      <c r="BG24" s="2" t="str">
        <f t="shared" si="50"/>
        <v/>
      </c>
      <c r="BH24" s="2">
        <f t="shared" si="51"/>
        <v>0</v>
      </c>
      <c r="BI24" s="298" t="str">
        <f t="shared" si="87"/>
        <v/>
      </c>
      <c r="BJ24" s="298" t="str">
        <f t="shared" si="52"/>
        <v/>
      </c>
      <c r="BK24" s="335" t="str">
        <f ca="1">IF(BM23&lt;&gt;"",IF(MIN(OFFSET($BI$3,BM23+2,0):BI388)=0,"",MIN(OFFSET($BI$3,BM23+2,0):BI388)),"")</f>
        <v/>
      </c>
      <c r="BL24" s="301" t="str">
        <f ca="1">IF(BN23&lt;&gt;"",IF(MIN(OFFSET($BJ$3,BN23+2,0):BJ387)=0,IF(BK24&lt;&gt;"",$BL$1,""),MIN(OFFSET($BJ$3,BN23+2,0):BJ387)),"")</f>
        <v/>
      </c>
      <c r="BM24" s="302" t="str">
        <f t="shared" ca="1" si="53"/>
        <v/>
      </c>
      <c r="BN24" s="302" t="str">
        <f t="shared" ca="1" si="54"/>
        <v/>
      </c>
      <c r="BO24" s="336" t="str">
        <f t="shared" ca="1" si="88"/>
        <v/>
      </c>
      <c r="BP24" s="337" t="str">
        <f t="shared" ca="1" si="91"/>
        <v/>
      </c>
      <c r="BQ24" s="4">
        <f t="shared" si="55"/>
        <v>45128</v>
      </c>
      <c r="BR24" s="112">
        <f t="shared" si="56"/>
        <v>0</v>
      </c>
      <c r="BS24" s="112">
        <f t="shared" si="57"/>
        <v>0</v>
      </c>
      <c r="BT24" s="112">
        <f t="shared" si="58"/>
        <v>0</v>
      </c>
      <c r="BU24" s="112">
        <f t="shared" si="59"/>
        <v>0</v>
      </c>
      <c r="BV24" s="112">
        <f t="shared" si="60"/>
        <v>0</v>
      </c>
      <c r="BX24" s="343" t="str">
        <f t="shared" ca="1" si="61"/>
        <v/>
      </c>
      <c r="BY24" s="343" t="str">
        <f t="shared" ca="1" si="62"/>
        <v/>
      </c>
      <c r="CI24" s="4">
        <f t="shared" si="65"/>
        <v>45128</v>
      </c>
      <c r="CJ24" s="50">
        <f ca="1">IF($BH24=0,IF($CO24="",CJ23+R24,IF('283'!$K$251=1,VLOOKUP($CO24,PerStBal,2)+R24,IF('283'!$K$253=1,(VLOOKUP($CO24,PerPortion,2)*VLOOKUP($CO24,PerStBal,6))+R24,GL!BS24))),0)</f>
        <v>0</v>
      </c>
      <c r="CK24" s="425">
        <f ca="1">IF($BH24=0,IF($CO24="",CK23+T24,IF('283'!$K$251=1,IF(mname2&lt;&gt;"",VLOOKUP($CO24,PerStBal,3)+T24,0),IF('283'!$K$253=1,(VLOOKUP($CO24,PerPortion,3)*VLOOKUP($CO24,PerStBal,6))+T24,GL!BT24))),0)</f>
        <v>0</v>
      </c>
      <c r="CL24" s="425">
        <f ca="1">IF($BH24=0,IF($CO24="",CL23+V24,IF('283'!$K$251=1,IF(mname3&lt;&gt;"",VLOOKUP($CO24,PerStBal,4)+V24,0),IF('283'!$K$253=1,(VLOOKUP($CO24,PerPortion,4)*VLOOKUP($CO24,PerStBal,6))+V24,GL!BU24))),0)</f>
        <v>0</v>
      </c>
      <c r="CM24" s="425">
        <f ca="1">IF($BH24=0,IF($CO24="",CM23+X24,IF('283'!$K$251=1,IF(mname4&lt;&gt;"",VLOOKUP($CO24,PerStBal,5)+X24,0),IF('283'!$K$253=1,(VLOOKUP($CO24,PerPortion,5)*VLOOKUP($CO24,PerStBal,6))+X24,GL!BV24))),0)</f>
        <v>0</v>
      </c>
      <c r="CN24" s="50">
        <f t="shared" ca="1" si="66"/>
        <v>0</v>
      </c>
      <c r="CO24" s="4" t="str">
        <f t="shared" ca="1" si="67"/>
        <v/>
      </c>
      <c r="CP24" s="377">
        <f t="shared" si="7"/>
        <v>0</v>
      </c>
      <c r="DI24" s="4">
        <f t="shared" si="70"/>
        <v>45128</v>
      </c>
      <c r="DJ24" s="112">
        <f t="shared" ca="1" si="71"/>
        <v>0</v>
      </c>
      <c r="DK24" s="112">
        <f t="shared" si="72"/>
        <v>0</v>
      </c>
      <c r="DL24" s="4">
        <f t="shared" si="73"/>
        <v>45128</v>
      </c>
      <c r="DM24" s="112">
        <f t="shared" ca="1" si="74"/>
        <v>0</v>
      </c>
      <c r="DN24" s="112">
        <f t="shared" si="75"/>
        <v>0</v>
      </c>
      <c r="DO24" s="4">
        <f t="shared" si="76"/>
        <v>45128</v>
      </c>
      <c r="DP24" s="112">
        <f t="shared" ca="1" si="77"/>
        <v>0</v>
      </c>
      <c r="DQ24" s="112">
        <f t="shared" si="78"/>
        <v>0</v>
      </c>
      <c r="DR24" s="4">
        <f t="shared" si="79"/>
        <v>45128</v>
      </c>
      <c r="DS24" s="112">
        <f t="shared" ca="1" si="80"/>
        <v>0</v>
      </c>
      <c r="DT24" s="112">
        <f t="shared" si="81"/>
        <v>0</v>
      </c>
      <c r="DU24" s="4">
        <f t="shared" si="82"/>
        <v>45128</v>
      </c>
      <c r="DV24" s="112">
        <f t="shared" si="83"/>
        <v>0</v>
      </c>
      <c r="DW24" s="112">
        <f t="shared" si="84"/>
        <v>0</v>
      </c>
    </row>
    <row r="25" spans="2:127" x14ac:dyDescent="0.25">
      <c r="B25" s="39" t="str">
        <f>IF(LEFT('283'!B132,1)="R","Benefits Paid","")</f>
        <v/>
      </c>
      <c r="C25" s="3" t="str">
        <f>IF(B25&lt;&gt;"",IF('283'!C132&lt;&gt;"",'283'!C132,""),"")</f>
        <v/>
      </c>
      <c r="D25" s="40" t="str">
        <f>IF($B25&lt;&gt;"",IF('283'!D132&lt;&gt;"",'283'!D132,""),"")</f>
        <v/>
      </c>
      <c r="E25" s="40" t="str">
        <f>IF($B25&lt;&gt;"",IF('283'!E132&lt;&gt;"",'283'!E132,""),"")</f>
        <v/>
      </c>
      <c r="F25" s="40" t="str">
        <f>IF($B25&lt;&gt;"",IF('283'!F132&lt;&gt;"",'283'!F132,""),"")</f>
        <v/>
      </c>
      <c r="G25" s="41" t="str">
        <f>IF($B25&lt;&gt;"",IF('283'!G132&lt;&gt;"",'283'!G132,""),"")</f>
        <v/>
      </c>
      <c r="H25" s="23">
        <v>21</v>
      </c>
      <c r="I25" s="42" t="str">
        <f>IF(AND(LEFT('283'!B132,1)&lt;&gt;"R",LEFT('283'!B132,1)&lt;&gt;""),'283'!B132,"")</f>
        <v/>
      </c>
      <c r="J25" s="3" t="str">
        <f>IF(I25&lt;&gt;"",IF('283'!C132&lt;&gt;"",'283'!C132,""),"")</f>
        <v/>
      </c>
      <c r="K25" s="40" t="str">
        <f>IF($I25&lt;&gt;"",IF('283'!D132&lt;&gt;"",IF(LEFT($I25,1)="N",-'283'!D132,'283'!D132),""),"")</f>
        <v/>
      </c>
      <c r="L25" s="40" t="str">
        <f>IF($I25&lt;&gt;"",IF('283'!E132&lt;&gt;"",IF(LEFT($I25,1)="N",-'283'!E132,'283'!E132),""),"")</f>
        <v/>
      </c>
      <c r="M25" s="40" t="str">
        <f>IF($I25&lt;&gt;"",IF('283'!F132&lt;&gt;"",IF(LEFT($I25,1)="N",-'283'!F132,'283'!F132),""),"")</f>
        <v/>
      </c>
      <c r="N25" s="40" t="str">
        <f>IF($I25&lt;&gt;"",IF('283'!G132&lt;&gt;"",IF(LEFT($I25,1)="N",-'283'!G132,'283'!G132),""),"")</f>
        <v/>
      </c>
      <c r="O25" s="43"/>
      <c r="P25" s="38"/>
      <c r="Q25" s="4">
        <f t="shared" si="16"/>
        <v>45129</v>
      </c>
      <c r="R25" s="24">
        <f t="shared" si="17"/>
        <v>0</v>
      </c>
      <c r="S25" s="25">
        <f t="shared" si="18"/>
        <v>0</v>
      </c>
      <c r="T25" s="24">
        <f t="shared" si="19"/>
        <v>0</v>
      </c>
      <c r="U25" s="25">
        <f t="shared" si="20"/>
        <v>0</v>
      </c>
      <c r="V25" s="24">
        <f t="shared" si="21"/>
        <v>0</v>
      </c>
      <c r="W25" s="25">
        <f t="shared" si="22"/>
        <v>0</v>
      </c>
      <c r="X25" s="24">
        <f t="shared" si="23"/>
        <v>0</v>
      </c>
      <c r="Y25" s="26">
        <f t="shared" si="24"/>
        <v>0</v>
      </c>
      <c r="Z25" s="27">
        <f t="shared" si="25"/>
        <v>0</v>
      </c>
      <c r="AA25" s="28">
        <f t="shared" si="26"/>
        <v>45129</v>
      </c>
      <c r="AB25" s="24">
        <f t="shared" si="27"/>
        <v>0</v>
      </c>
      <c r="AC25" s="25">
        <f t="shared" si="28"/>
        <v>0</v>
      </c>
      <c r="AD25" s="28">
        <f t="shared" si="29"/>
        <v>45129</v>
      </c>
      <c r="AE25" s="24">
        <f t="shared" si="30"/>
        <v>0</v>
      </c>
      <c r="AF25" s="25">
        <f t="shared" si="31"/>
        <v>0</v>
      </c>
      <c r="AG25" s="28">
        <f t="shared" si="32"/>
        <v>45129</v>
      </c>
      <c r="AH25" s="24">
        <f t="shared" si="33"/>
        <v>0</v>
      </c>
      <c r="AI25" s="25">
        <f t="shared" si="34"/>
        <v>0</v>
      </c>
      <c r="AJ25" s="28">
        <f t="shared" si="35"/>
        <v>45129</v>
      </c>
      <c r="AK25" s="24">
        <f t="shared" si="36"/>
        <v>0</v>
      </c>
      <c r="AL25" s="25">
        <f t="shared" si="37"/>
        <v>0</v>
      </c>
      <c r="AM25" s="29">
        <f t="shared" si="38"/>
        <v>0</v>
      </c>
      <c r="AN25" s="28">
        <f t="shared" si="39"/>
        <v>45129</v>
      </c>
      <c r="AO25" s="373">
        <f t="shared" si="0"/>
        <v>0</v>
      </c>
      <c r="AP25" s="374">
        <f t="shared" si="1"/>
        <v>0</v>
      </c>
      <c r="AQ25" s="27">
        <f t="shared" si="2"/>
        <v>0</v>
      </c>
      <c r="AR25" s="25">
        <f t="shared" si="3"/>
        <v>0</v>
      </c>
      <c r="AS25" s="25">
        <f t="shared" si="4"/>
        <v>0</v>
      </c>
      <c r="AT25" s="25">
        <f t="shared" si="5"/>
        <v>0</v>
      </c>
      <c r="AU25" s="29">
        <f t="shared" si="85"/>
        <v>0</v>
      </c>
      <c r="AV25" s="27">
        <f t="shared" si="40"/>
        <v>0</v>
      </c>
      <c r="AW25" s="27">
        <f t="shared" si="41"/>
        <v>0</v>
      </c>
      <c r="AX25" s="27">
        <f t="shared" si="42"/>
        <v>0</v>
      </c>
      <c r="AY25" s="27">
        <f t="shared" si="43"/>
        <v>0</v>
      </c>
      <c r="AZ25" s="2" t="str">
        <f t="shared" si="44"/>
        <v/>
      </c>
      <c r="BA25" s="2" t="str">
        <f t="shared" si="45"/>
        <v/>
      </c>
      <c r="BB25" s="2" t="str">
        <f t="shared" si="46"/>
        <v/>
      </c>
      <c r="BC25" s="2" t="str">
        <f t="shared" si="47"/>
        <v/>
      </c>
      <c r="BD25" s="2" t="str">
        <f t="shared" si="86"/>
        <v/>
      </c>
      <c r="BE25" s="2" t="str">
        <f t="shared" si="48"/>
        <v/>
      </c>
      <c r="BF25" s="2" t="str">
        <f t="shared" si="49"/>
        <v/>
      </c>
      <c r="BG25" s="2" t="str">
        <f t="shared" si="50"/>
        <v/>
      </c>
      <c r="BH25" s="2">
        <f t="shared" si="51"/>
        <v>0</v>
      </c>
      <c r="BI25" s="298" t="str">
        <f t="shared" si="87"/>
        <v/>
      </c>
      <c r="BJ25" s="298" t="str">
        <f t="shared" si="52"/>
        <v/>
      </c>
      <c r="BK25" s="335" t="str">
        <f ca="1">IF(BM24&lt;&gt;"",IF(MIN(OFFSET($BI$3,BM24+2,0):BI389)=0,"",MIN(OFFSET($BI$3,BM24+2,0):BI389)),"")</f>
        <v/>
      </c>
      <c r="BL25" s="301" t="str">
        <f ca="1">IF(BN24&lt;&gt;"",IF(MIN(OFFSET($BJ$3,BN24+2,0):BJ388)=0,IF(BK25&lt;&gt;"",$BL$1,""),MIN(OFFSET($BJ$3,BN24+2,0):BJ388)),"")</f>
        <v/>
      </c>
      <c r="BM25" s="302" t="str">
        <f t="shared" ca="1" si="53"/>
        <v/>
      </c>
      <c r="BN25" s="302" t="str">
        <f t="shared" ca="1" si="54"/>
        <v/>
      </c>
      <c r="BO25" s="336" t="str">
        <f t="shared" ca="1" si="88"/>
        <v/>
      </c>
      <c r="BP25" s="337" t="str">
        <f t="shared" ca="1" si="91"/>
        <v/>
      </c>
      <c r="BQ25" s="4">
        <f t="shared" si="55"/>
        <v>45129</v>
      </c>
      <c r="BR25" s="112">
        <f t="shared" si="56"/>
        <v>0</v>
      </c>
      <c r="BS25" s="112">
        <f t="shared" si="57"/>
        <v>0</v>
      </c>
      <c r="BT25" s="112">
        <f t="shared" si="58"/>
        <v>0</v>
      </c>
      <c r="BU25" s="112">
        <f t="shared" si="59"/>
        <v>0</v>
      </c>
      <c r="BV25" s="112">
        <f t="shared" si="60"/>
        <v>0</v>
      </c>
      <c r="BX25" s="343" t="str">
        <f t="shared" ca="1" si="61"/>
        <v/>
      </c>
      <c r="BY25" s="343" t="str">
        <f t="shared" ca="1" si="62"/>
        <v/>
      </c>
      <c r="CI25" s="4">
        <f t="shared" si="65"/>
        <v>45129</v>
      </c>
      <c r="CJ25" s="50">
        <f ca="1">IF($BH25=0,IF($CO25="",CJ24+R25,IF('283'!$K$251=1,VLOOKUP($CO25,PerStBal,2)+R25,IF('283'!$K$253=1,(VLOOKUP($CO25,PerPortion,2)*VLOOKUP($CO25,PerStBal,6))+R25,GL!BS25))),0)</f>
        <v>0</v>
      </c>
      <c r="CK25" s="425">
        <f ca="1">IF($BH25=0,IF($CO25="",CK24+T25,IF('283'!$K$251=1,IF(mname2&lt;&gt;"",VLOOKUP($CO25,PerStBal,3)+T25,0),IF('283'!$K$253=1,(VLOOKUP($CO25,PerPortion,3)*VLOOKUP($CO25,PerStBal,6))+T25,GL!BT25))),0)</f>
        <v>0</v>
      </c>
      <c r="CL25" s="425">
        <f ca="1">IF($BH25=0,IF($CO25="",CL24+V25,IF('283'!$K$251=1,IF(mname3&lt;&gt;"",VLOOKUP($CO25,PerStBal,4)+V25,0),IF('283'!$K$253=1,(VLOOKUP($CO25,PerPortion,4)*VLOOKUP($CO25,PerStBal,6))+V25,GL!BU25))),0)</f>
        <v>0</v>
      </c>
      <c r="CM25" s="425">
        <f ca="1">IF($BH25=0,IF($CO25="",CM24+X25,IF('283'!$K$251=1,IF(mname4&lt;&gt;"",VLOOKUP($CO25,PerStBal,5)+X25,0),IF('283'!$K$253=1,(VLOOKUP($CO25,PerPortion,5)*VLOOKUP($CO25,PerStBal,6))+X25,GL!BV25))),0)</f>
        <v>0</v>
      </c>
      <c r="CN25" s="50">
        <f t="shared" ca="1" si="66"/>
        <v>0</v>
      </c>
      <c r="CO25" s="4" t="str">
        <f t="shared" ca="1" si="67"/>
        <v/>
      </c>
      <c r="CP25" s="377">
        <f t="shared" si="7"/>
        <v>0</v>
      </c>
      <c r="DI25" s="4">
        <f t="shared" si="70"/>
        <v>45129</v>
      </c>
      <c r="DJ25" s="112">
        <f t="shared" ca="1" si="71"/>
        <v>0</v>
      </c>
      <c r="DK25" s="112">
        <f t="shared" si="72"/>
        <v>0</v>
      </c>
      <c r="DL25" s="4">
        <f t="shared" si="73"/>
        <v>45129</v>
      </c>
      <c r="DM25" s="112">
        <f t="shared" ca="1" si="74"/>
        <v>0</v>
      </c>
      <c r="DN25" s="112">
        <f t="shared" si="75"/>
        <v>0</v>
      </c>
      <c r="DO25" s="4">
        <f t="shared" si="76"/>
        <v>45129</v>
      </c>
      <c r="DP25" s="112">
        <f t="shared" ca="1" si="77"/>
        <v>0</v>
      </c>
      <c r="DQ25" s="112">
        <f t="shared" si="78"/>
        <v>0</v>
      </c>
      <c r="DR25" s="4">
        <f t="shared" si="79"/>
        <v>45129</v>
      </c>
      <c r="DS25" s="112">
        <f t="shared" ca="1" si="80"/>
        <v>0</v>
      </c>
      <c r="DT25" s="112">
        <f t="shared" si="81"/>
        <v>0</v>
      </c>
      <c r="DU25" s="4">
        <f t="shared" si="82"/>
        <v>45129</v>
      </c>
      <c r="DV25" s="112">
        <f t="shared" si="83"/>
        <v>0</v>
      </c>
      <c r="DW25" s="112">
        <f t="shared" si="84"/>
        <v>0</v>
      </c>
    </row>
    <row r="26" spans="2:127" x14ac:dyDescent="0.25">
      <c r="B26" s="39" t="str">
        <f>IF(LEFT('283'!B133,1)="R","Benefits Paid","")</f>
        <v/>
      </c>
      <c r="C26" s="3" t="str">
        <f>IF(B26&lt;&gt;"",IF('283'!C133&lt;&gt;"",'283'!C133,""),"")</f>
        <v/>
      </c>
      <c r="D26" s="40" t="str">
        <f>IF($B26&lt;&gt;"",IF('283'!D133&lt;&gt;"",'283'!D133,""),"")</f>
        <v/>
      </c>
      <c r="E26" s="40" t="str">
        <f>IF($B26&lt;&gt;"",IF('283'!E133&lt;&gt;"",'283'!E133,""),"")</f>
        <v/>
      </c>
      <c r="F26" s="40" t="str">
        <f>IF($B26&lt;&gt;"",IF('283'!F133&lt;&gt;"",'283'!F133,""),"")</f>
        <v/>
      </c>
      <c r="G26" s="41" t="str">
        <f>IF($B26&lt;&gt;"",IF('283'!G133&lt;&gt;"",'283'!G133,""),"")</f>
        <v/>
      </c>
      <c r="H26" s="23">
        <v>22</v>
      </c>
      <c r="I26" s="42" t="str">
        <f>IF(AND(LEFT('283'!B133,1)&lt;&gt;"R",LEFT('283'!B133,1)&lt;&gt;""),'283'!B133,"")</f>
        <v/>
      </c>
      <c r="J26" s="3" t="str">
        <f>IF(I26&lt;&gt;"",IF('283'!C133&lt;&gt;"",'283'!C133,""),"")</f>
        <v/>
      </c>
      <c r="K26" s="40" t="str">
        <f>IF($I26&lt;&gt;"",IF('283'!D133&lt;&gt;"",IF(LEFT($I26,1)="N",-'283'!D133,'283'!D133),""),"")</f>
        <v/>
      </c>
      <c r="L26" s="40" t="str">
        <f>IF($I26&lt;&gt;"",IF('283'!E133&lt;&gt;"",IF(LEFT($I26,1)="N",-'283'!E133,'283'!E133),""),"")</f>
        <v/>
      </c>
      <c r="M26" s="40" t="str">
        <f>IF($I26&lt;&gt;"",IF('283'!F133&lt;&gt;"",IF(LEFT($I26,1)="N",-'283'!F133,'283'!F133),""),"")</f>
        <v/>
      </c>
      <c r="N26" s="40" t="str">
        <f>IF($I26&lt;&gt;"",IF('283'!G133&lt;&gt;"",IF(LEFT($I26,1)="N",-'283'!G133,'283'!G133),""),"")</f>
        <v/>
      </c>
      <c r="O26" s="43"/>
      <c r="P26" s="38"/>
      <c r="Q26" s="4">
        <f t="shared" si="16"/>
        <v>45130</v>
      </c>
      <c r="R26" s="24">
        <f t="shared" si="17"/>
        <v>0</v>
      </c>
      <c r="S26" s="25">
        <f t="shared" si="18"/>
        <v>0</v>
      </c>
      <c r="T26" s="24">
        <f t="shared" si="19"/>
        <v>0</v>
      </c>
      <c r="U26" s="25">
        <f t="shared" si="20"/>
        <v>0</v>
      </c>
      <c r="V26" s="24">
        <f t="shared" si="21"/>
        <v>0</v>
      </c>
      <c r="W26" s="25">
        <f t="shared" si="22"/>
        <v>0</v>
      </c>
      <c r="X26" s="24">
        <f t="shared" si="23"/>
        <v>0</v>
      </c>
      <c r="Y26" s="26">
        <f t="shared" si="24"/>
        <v>0</v>
      </c>
      <c r="Z26" s="27">
        <f t="shared" si="25"/>
        <v>0</v>
      </c>
      <c r="AA26" s="28">
        <f t="shared" si="26"/>
        <v>45130</v>
      </c>
      <c r="AB26" s="24">
        <f t="shared" si="27"/>
        <v>0</v>
      </c>
      <c r="AC26" s="25">
        <f t="shared" si="28"/>
        <v>0</v>
      </c>
      <c r="AD26" s="28">
        <f t="shared" si="29"/>
        <v>45130</v>
      </c>
      <c r="AE26" s="24">
        <f t="shared" si="30"/>
        <v>0</v>
      </c>
      <c r="AF26" s="25">
        <f t="shared" si="31"/>
        <v>0</v>
      </c>
      <c r="AG26" s="28">
        <f t="shared" si="32"/>
        <v>45130</v>
      </c>
      <c r="AH26" s="24">
        <f t="shared" si="33"/>
        <v>0</v>
      </c>
      <c r="AI26" s="25">
        <f t="shared" si="34"/>
        <v>0</v>
      </c>
      <c r="AJ26" s="28">
        <f t="shared" si="35"/>
        <v>45130</v>
      </c>
      <c r="AK26" s="24">
        <f t="shared" si="36"/>
        <v>0</v>
      </c>
      <c r="AL26" s="25">
        <f t="shared" si="37"/>
        <v>0</v>
      </c>
      <c r="AM26" s="29">
        <f t="shared" si="38"/>
        <v>0</v>
      </c>
      <c r="AN26" s="28">
        <f t="shared" si="39"/>
        <v>45130</v>
      </c>
      <c r="AO26" s="373">
        <f t="shared" si="0"/>
        <v>0</v>
      </c>
      <c r="AP26" s="374">
        <f t="shared" si="1"/>
        <v>0</v>
      </c>
      <c r="AQ26" s="27">
        <f t="shared" si="2"/>
        <v>0</v>
      </c>
      <c r="AR26" s="25">
        <f t="shared" si="3"/>
        <v>0</v>
      </c>
      <c r="AS26" s="25">
        <f t="shared" si="4"/>
        <v>0</v>
      </c>
      <c r="AT26" s="25">
        <f t="shared" si="5"/>
        <v>0</v>
      </c>
      <c r="AU26" s="29">
        <f t="shared" si="85"/>
        <v>0</v>
      </c>
      <c r="AV26" s="27">
        <f t="shared" si="40"/>
        <v>0</v>
      </c>
      <c r="AW26" s="27">
        <f t="shared" si="41"/>
        <v>0</v>
      </c>
      <c r="AX26" s="27">
        <f t="shared" si="42"/>
        <v>0</v>
      </c>
      <c r="AY26" s="27">
        <f t="shared" si="43"/>
        <v>0</v>
      </c>
      <c r="AZ26" s="2" t="str">
        <f t="shared" si="44"/>
        <v/>
      </c>
      <c r="BA26" s="2" t="str">
        <f t="shared" si="45"/>
        <v/>
      </c>
      <c r="BB26" s="2" t="str">
        <f t="shared" si="46"/>
        <v/>
      </c>
      <c r="BC26" s="2" t="str">
        <f t="shared" si="47"/>
        <v/>
      </c>
      <c r="BD26" s="2" t="str">
        <f t="shared" si="86"/>
        <v/>
      </c>
      <c r="BE26" s="2" t="str">
        <f t="shared" si="48"/>
        <v/>
      </c>
      <c r="BF26" s="2" t="str">
        <f t="shared" si="49"/>
        <v/>
      </c>
      <c r="BG26" s="2" t="str">
        <f t="shared" si="50"/>
        <v/>
      </c>
      <c r="BH26" s="2">
        <f t="shared" si="51"/>
        <v>0</v>
      </c>
      <c r="BI26" s="298" t="str">
        <f t="shared" si="87"/>
        <v/>
      </c>
      <c r="BJ26" s="298" t="str">
        <f t="shared" si="52"/>
        <v/>
      </c>
      <c r="BK26" s="335" t="str">
        <f ca="1">IF(BM25&lt;&gt;"",IF(MIN(OFFSET($BI$3,BM25+2,0):BI390)=0,"",MIN(OFFSET($BI$3,BM25+2,0):BI390)),"")</f>
        <v/>
      </c>
      <c r="BL26" s="301" t="str">
        <f ca="1">IF(BN25&lt;&gt;"",IF(MIN(OFFSET($BJ$3,BN25+2,0):BJ389)=0,IF(BK26&lt;&gt;"",$BL$1,""),MIN(OFFSET($BJ$3,BN25+2,0):BJ389)),"")</f>
        <v/>
      </c>
      <c r="BM26" s="302" t="str">
        <f t="shared" ca="1" si="53"/>
        <v/>
      </c>
      <c r="BN26" s="302" t="str">
        <f t="shared" ca="1" si="54"/>
        <v/>
      </c>
      <c r="BO26" s="336" t="str">
        <f t="shared" ca="1" si="88"/>
        <v/>
      </c>
      <c r="BP26" s="337" t="str">
        <f t="shared" ca="1" si="91"/>
        <v/>
      </c>
      <c r="BQ26" s="4">
        <f t="shared" si="55"/>
        <v>45130</v>
      </c>
      <c r="BR26" s="112">
        <f t="shared" si="56"/>
        <v>0</v>
      </c>
      <c r="BS26" s="112">
        <f t="shared" si="57"/>
        <v>0</v>
      </c>
      <c r="BT26" s="112">
        <f t="shared" si="58"/>
        <v>0</v>
      </c>
      <c r="BU26" s="112">
        <f t="shared" si="59"/>
        <v>0</v>
      </c>
      <c r="BV26" s="112">
        <f t="shared" si="60"/>
        <v>0</v>
      </c>
      <c r="BX26" s="343" t="str">
        <f t="shared" ca="1" si="61"/>
        <v/>
      </c>
      <c r="BY26" s="343" t="str">
        <f t="shared" ca="1" si="62"/>
        <v/>
      </c>
      <c r="CI26" s="4">
        <f t="shared" si="65"/>
        <v>45130</v>
      </c>
      <c r="CJ26" s="50">
        <f ca="1">IF($BH26=0,IF($CO26="",CJ25+R26,IF('283'!$K$251=1,VLOOKUP($CO26,PerStBal,2)+R26,IF('283'!$K$253=1,(VLOOKUP($CO26,PerPortion,2)*VLOOKUP($CO26,PerStBal,6))+R26,GL!BS26))),0)</f>
        <v>0</v>
      </c>
      <c r="CK26" s="425">
        <f ca="1">IF($BH26=0,IF($CO26="",CK25+T26,IF('283'!$K$251=1,IF(mname2&lt;&gt;"",VLOOKUP($CO26,PerStBal,3)+T26,0),IF('283'!$K$253=1,(VLOOKUP($CO26,PerPortion,3)*VLOOKUP($CO26,PerStBal,6))+T26,GL!BT26))),0)</f>
        <v>0</v>
      </c>
      <c r="CL26" s="425">
        <f ca="1">IF($BH26=0,IF($CO26="",CL25+V26,IF('283'!$K$251=1,IF(mname3&lt;&gt;"",VLOOKUP($CO26,PerStBal,4)+V26,0),IF('283'!$K$253=1,(VLOOKUP($CO26,PerPortion,4)*VLOOKUP($CO26,PerStBal,6))+V26,GL!BU26))),0)</f>
        <v>0</v>
      </c>
      <c r="CM26" s="425">
        <f ca="1">IF($BH26=0,IF($CO26="",CM25+X26,IF('283'!$K$251=1,IF(mname4&lt;&gt;"",VLOOKUP($CO26,PerStBal,5)+X26,0),IF('283'!$K$253=1,(VLOOKUP($CO26,PerPortion,5)*VLOOKUP($CO26,PerStBal,6))+X26,GL!BV26))),0)</f>
        <v>0</v>
      </c>
      <c r="CN26" s="50">
        <f t="shared" ca="1" si="66"/>
        <v>0</v>
      </c>
      <c r="CO26" s="4" t="str">
        <f t="shared" ca="1" si="67"/>
        <v/>
      </c>
      <c r="CP26" s="377">
        <f t="shared" si="7"/>
        <v>0</v>
      </c>
      <c r="DI26" s="4">
        <f t="shared" si="70"/>
        <v>45130</v>
      </c>
      <c r="DJ26" s="112">
        <f t="shared" ca="1" si="71"/>
        <v>0</v>
      </c>
      <c r="DK26" s="112">
        <f t="shared" si="72"/>
        <v>0</v>
      </c>
      <c r="DL26" s="4">
        <f t="shared" si="73"/>
        <v>45130</v>
      </c>
      <c r="DM26" s="112">
        <f t="shared" ca="1" si="74"/>
        <v>0</v>
      </c>
      <c r="DN26" s="112">
        <f t="shared" si="75"/>
        <v>0</v>
      </c>
      <c r="DO26" s="4">
        <f t="shared" si="76"/>
        <v>45130</v>
      </c>
      <c r="DP26" s="112">
        <f t="shared" ca="1" si="77"/>
        <v>0</v>
      </c>
      <c r="DQ26" s="112">
        <f t="shared" si="78"/>
        <v>0</v>
      </c>
      <c r="DR26" s="4">
        <f t="shared" si="79"/>
        <v>45130</v>
      </c>
      <c r="DS26" s="112">
        <f t="shared" ca="1" si="80"/>
        <v>0</v>
      </c>
      <c r="DT26" s="112">
        <f t="shared" si="81"/>
        <v>0</v>
      </c>
      <c r="DU26" s="4">
        <f t="shared" si="82"/>
        <v>45130</v>
      </c>
      <c r="DV26" s="112">
        <f t="shared" si="83"/>
        <v>0</v>
      </c>
      <c r="DW26" s="112">
        <f t="shared" si="84"/>
        <v>0</v>
      </c>
    </row>
    <row r="27" spans="2:127" x14ac:dyDescent="0.25">
      <c r="B27" s="39" t="str">
        <f>IF(LEFT('283'!B134,1)="R","Benefits Paid","")</f>
        <v/>
      </c>
      <c r="C27" s="3" t="str">
        <f>IF(B27&lt;&gt;"",IF('283'!C134&lt;&gt;"",'283'!C134,""),"")</f>
        <v/>
      </c>
      <c r="D27" s="40" t="str">
        <f>IF($B27&lt;&gt;"",IF('283'!D134&lt;&gt;"",'283'!D134,""),"")</f>
        <v/>
      </c>
      <c r="E27" s="40" t="str">
        <f>IF($B27&lt;&gt;"",IF('283'!E134&lt;&gt;"",'283'!E134,""),"")</f>
        <v/>
      </c>
      <c r="F27" s="40" t="str">
        <f>IF($B27&lt;&gt;"",IF('283'!F134&lt;&gt;"",'283'!F134,""),"")</f>
        <v/>
      </c>
      <c r="G27" s="41" t="str">
        <f>IF($B27&lt;&gt;"",IF('283'!G134&lt;&gt;"",'283'!G134,""),"")</f>
        <v/>
      </c>
      <c r="H27" s="23">
        <v>23</v>
      </c>
      <c r="I27" s="42" t="str">
        <f>IF(AND(LEFT('283'!B134,1)&lt;&gt;"R",LEFT('283'!B134,1)&lt;&gt;""),'283'!B134,"")</f>
        <v/>
      </c>
      <c r="J27" s="3" t="str">
        <f>IF(I27&lt;&gt;"",IF('283'!C134&lt;&gt;"",'283'!C134,""),"")</f>
        <v/>
      </c>
      <c r="K27" s="40" t="str">
        <f>IF($I27&lt;&gt;"",IF('283'!D134&lt;&gt;"",IF(LEFT($I27,1)="N",-'283'!D134,'283'!D134),""),"")</f>
        <v/>
      </c>
      <c r="L27" s="40" t="str">
        <f>IF($I27&lt;&gt;"",IF('283'!E134&lt;&gt;"",IF(LEFT($I27,1)="N",-'283'!E134,'283'!E134),""),"")</f>
        <v/>
      </c>
      <c r="M27" s="40" t="str">
        <f>IF($I27&lt;&gt;"",IF('283'!F134&lt;&gt;"",IF(LEFT($I27,1)="N",-'283'!F134,'283'!F134),""),"")</f>
        <v/>
      </c>
      <c r="N27" s="40" t="str">
        <f>IF($I27&lt;&gt;"",IF('283'!G134&lt;&gt;"",IF(LEFT($I27,1)="N",-'283'!G134,'283'!G134),""),"")</f>
        <v/>
      </c>
      <c r="O27" s="43"/>
      <c r="P27" s="38"/>
      <c r="Q27" s="4">
        <f t="shared" si="16"/>
        <v>45131</v>
      </c>
      <c r="R27" s="24">
        <f t="shared" si="17"/>
        <v>0</v>
      </c>
      <c r="S27" s="25">
        <f t="shared" si="18"/>
        <v>0</v>
      </c>
      <c r="T27" s="24">
        <f t="shared" si="19"/>
        <v>0</v>
      </c>
      <c r="U27" s="25">
        <f t="shared" si="20"/>
        <v>0</v>
      </c>
      <c r="V27" s="24">
        <f t="shared" si="21"/>
        <v>0</v>
      </c>
      <c r="W27" s="25">
        <f t="shared" si="22"/>
        <v>0</v>
      </c>
      <c r="X27" s="24">
        <f t="shared" si="23"/>
        <v>0</v>
      </c>
      <c r="Y27" s="26">
        <f t="shared" si="24"/>
        <v>0</v>
      </c>
      <c r="Z27" s="27">
        <f t="shared" si="25"/>
        <v>0</v>
      </c>
      <c r="AA27" s="28">
        <f t="shared" si="26"/>
        <v>45131</v>
      </c>
      <c r="AB27" s="24">
        <f t="shared" si="27"/>
        <v>0</v>
      </c>
      <c r="AC27" s="25">
        <f t="shared" si="28"/>
        <v>0</v>
      </c>
      <c r="AD27" s="28">
        <f t="shared" si="29"/>
        <v>45131</v>
      </c>
      <c r="AE27" s="24">
        <f t="shared" si="30"/>
        <v>0</v>
      </c>
      <c r="AF27" s="25">
        <f t="shared" si="31"/>
        <v>0</v>
      </c>
      <c r="AG27" s="28">
        <f t="shared" si="32"/>
        <v>45131</v>
      </c>
      <c r="AH27" s="24">
        <f t="shared" si="33"/>
        <v>0</v>
      </c>
      <c r="AI27" s="25">
        <f t="shared" si="34"/>
        <v>0</v>
      </c>
      <c r="AJ27" s="28">
        <f t="shared" si="35"/>
        <v>45131</v>
      </c>
      <c r="AK27" s="24">
        <f t="shared" si="36"/>
        <v>0</v>
      </c>
      <c r="AL27" s="25">
        <f t="shared" si="37"/>
        <v>0</v>
      </c>
      <c r="AM27" s="29">
        <f t="shared" si="38"/>
        <v>0</v>
      </c>
      <c r="AN27" s="28">
        <f t="shared" si="39"/>
        <v>45131</v>
      </c>
      <c r="AO27" s="373">
        <f t="shared" si="0"/>
        <v>0</v>
      </c>
      <c r="AP27" s="374">
        <f t="shared" si="1"/>
        <v>0</v>
      </c>
      <c r="AQ27" s="27">
        <f t="shared" si="2"/>
        <v>0</v>
      </c>
      <c r="AR27" s="25">
        <f t="shared" si="3"/>
        <v>0</v>
      </c>
      <c r="AS27" s="25">
        <f t="shared" si="4"/>
        <v>0</v>
      </c>
      <c r="AT27" s="25">
        <f t="shared" si="5"/>
        <v>0</v>
      </c>
      <c r="AU27" s="29">
        <f t="shared" si="85"/>
        <v>0</v>
      </c>
      <c r="AV27" s="27">
        <f t="shared" si="40"/>
        <v>0</v>
      </c>
      <c r="AW27" s="27">
        <f t="shared" si="41"/>
        <v>0</v>
      </c>
      <c r="AX27" s="27">
        <f t="shared" si="42"/>
        <v>0</v>
      </c>
      <c r="AY27" s="27">
        <f t="shared" si="43"/>
        <v>0</v>
      </c>
      <c r="AZ27" s="2" t="str">
        <f t="shared" si="44"/>
        <v/>
      </c>
      <c r="BA27" s="2" t="str">
        <f t="shared" si="45"/>
        <v/>
      </c>
      <c r="BB27" s="2" t="str">
        <f t="shared" si="46"/>
        <v/>
      </c>
      <c r="BC27" s="2" t="str">
        <f t="shared" si="47"/>
        <v/>
      </c>
      <c r="BD27" s="2" t="str">
        <f t="shared" si="86"/>
        <v/>
      </c>
      <c r="BE27" s="2" t="str">
        <f t="shared" si="48"/>
        <v/>
      </c>
      <c r="BF27" s="2" t="str">
        <f t="shared" si="49"/>
        <v/>
      </c>
      <c r="BG27" s="2" t="str">
        <f t="shared" si="50"/>
        <v/>
      </c>
      <c r="BH27" s="2">
        <f t="shared" si="51"/>
        <v>0</v>
      </c>
      <c r="BI27" s="298" t="str">
        <f t="shared" si="87"/>
        <v/>
      </c>
      <c r="BJ27" s="298" t="str">
        <f t="shared" si="52"/>
        <v/>
      </c>
      <c r="BK27" s="338" t="str">
        <f ca="1">IF(BM26&lt;&gt;"",IF(MIN(OFFSET($BI$3,BM26+2,0):BI391)=0,"",MIN(OFFSET($BI$3,BM26+2,0):BI391)),"")</f>
        <v/>
      </c>
      <c r="BL27" s="301" t="str">
        <f ca="1">IF(BN26&lt;&gt;"",IF(MIN(OFFSET($BJ$3,BN26+2,0):BJ390)=0,IF(BK27&lt;&gt;"",$BL$1,""),MIN(OFFSET($BJ$3,BN26+2,0):BJ390)),"")</f>
        <v/>
      </c>
      <c r="BM27" s="300" t="str">
        <f t="shared" ca="1" si="53"/>
        <v/>
      </c>
      <c r="BN27" s="300" t="str">
        <f t="shared" ca="1" si="54"/>
        <v/>
      </c>
      <c r="BO27" s="303" t="str">
        <f t="shared" ca="1" si="88"/>
        <v/>
      </c>
      <c r="BP27" s="339" t="str">
        <f t="shared" ca="1" si="91"/>
        <v/>
      </c>
      <c r="BQ27" s="4">
        <f t="shared" si="55"/>
        <v>45131</v>
      </c>
      <c r="BR27" s="112">
        <f t="shared" si="56"/>
        <v>0</v>
      </c>
      <c r="BS27" s="112">
        <f t="shared" si="57"/>
        <v>0</v>
      </c>
      <c r="BT27" s="112">
        <f t="shared" si="58"/>
        <v>0</v>
      </c>
      <c r="BU27" s="112">
        <f t="shared" si="59"/>
        <v>0</v>
      </c>
      <c r="BV27" s="112">
        <f t="shared" si="60"/>
        <v>0</v>
      </c>
      <c r="BX27" s="343" t="str">
        <f t="shared" ca="1" si="61"/>
        <v/>
      </c>
      <c r="BY27" s="343" t="str">
        <f t="shared" ca="1" si="62"/>
        <v/>
      </c>
      <c r="CI27" s="4">
        <f t="shared" si="65"/>
        <v>45131</v>
      </c>
      <c r="CJ27" s="50">
        <f ca="1">IF($BH27=0,IF($CO27="",CJ26+R27,IF('283'!$K$251=1,VLOOKUP($CO27,PerStBal,2)+R27,IF('283'!$K$253=1,(VLOOKUP($CO27,PerPortion,2)*VLOOKUP($CO27,PerStBal,6))+R27,GL!BS27))),0)</f>
        <v>0</v>
      </c>
      <c r="CK27" s="425">
        <f ca="1">IF($BH27=0,IF($CO27="",CK26+T27,IF('283'!$K$251=1,IF(mname2&lt;&gt;"",VLOOKUP($CO27,PerStBal,3)+T27,0),IF('283'!$K$253=1,(VLOOKUP($CO27,PerPortion,3)*VLOOKUP($CO27,PerStBal,6))+T27,GL!BT27))),0)</f>
        <v>0</v>
      </c>
      <c r="CL27" s="425">
        <f ca="1">IF($BH27=0,IF($CO27="",CL26+V27,IF('283'!$K$251=1,IF(mname3&lt;&gt;"",VLOOKUP($CO27,PerStBal,4)+V27,0),IF('283'!$K$253=1,(VLOOKUP($CO27,PerPortion,4)*VLOOKUP($CO27,PerStBal,6))+V27,GL!BU27))),0)</f>
        <v>0</v>
      </c>
      <c r="CM27" s="425">
        <f ca="1">IF($BH27=0,IF($CO27="",CM26+X27,IF('283'!$K$251=1,IF(mname4&lt;&gt;"",VLOOKUP($CO27,PerStBal,5)+X27,0),IF('283'!$K$253=1,(VLOOKUP($CO27,PerPortion,5)*VLOOKUP($CO27,PerStBal,6))+X27,GL!BV27))),0)</f>
        <v>0</v>
      </c>
      <c r="CN27" s="50">
        <f t="shared" ca="1" si="66"/>
        <v>0</v>
      </c>
      <c r="CO27" s="4" t="str">
        <f t="shared" ca="1" si="67"/>
        <v/>
      </c>
      <c r="CP27" s="377">
        <f t="shared" si="7"/>
        <v>0</v>
      </c>
      <c r="DI27" s="4">
        <f t="shared" si="70"/>
        <v>45131</v>
      </c>
      <c r="DJ27" s="112">
        <f t="shared" ca="1" si="71"/>
        <v>0</v>
      </c>
      <c r="DK27" s="112">
        <f t="shared" si="72"/>
        <v>0</v>
      </c>
      <c r="DL27" s="4">
        <f t="shared" si="73"/>
        <v>45131</v>
      </c>
      <c r="DM27" s="112">
        <f t="shared" ca="1" si="74"/>
        <v>0</v>
      </c>
      <c r="DN27" s="112">
        <f t="shared" si="75"/>
        <v>0</v>
      </c>
      <c r="DO27" s="4">
        <f t="shared" si="76"/>
        <v>45131</v>
      </c>
      <c r="DP27" s="112">
        <f t="shared" ca="1" si="77"/>
        <v>0</v>
      </c>
      <c r="DQ27" s="112">
        <f t="shared" si="78"/>
        <v>0</v>
      </c>
      <c r="DR27" s="4">
        <f t="shared" si="79"/>
        <v>45131</v>
      </c>
      <c r="DS27" s="112">
        <f t="shared" ca="1" si="80"/>
        <v>0</v>
      </c>
      <c r="DT27" s="112">
        <f t="shared" si="81"/>
        <v>0</v>
      </c>
      <c r="DU27" s="4">
        <f t="shared" si="82"/>
        <v>45131</v>
      </c>
      <c r="DV27" s="112">
        <f t="shared" si="83"/>
        <v>0</v>
      </c>
      <c r="DW27" s="112">
        <f t="shared" si="84"/>
        <v>0</v>
      </c>
    </row>
    <row r="28" spans="2:127" x14ac:dyDescent="0.25">
      <c r="B28" s="39" t="str">
        <f>IF(LEFT('283'!B135,1)="R","Benefits Paid","")</f>
        <v/>
      </c>
      <c r="C28" s="3" t="str">
        <f>IF(B28&lt;&gt;"",IF('283'!C135&lt;&gt;"",'283'!C135,""),"")</f>
        <v/>
      </c>
      <c r="D28" s="40" t="str">
        <f>IF($B28&lt;&gt;"",IF('283'!D135&lt;&gt;"",'283'!D135,""),"")</f>
        <v/>
      </c>
      <c r="E28" s="40" t="str">
        <f>IF($B28&lt;&gt;"",IF('283'!E135&lt;&gt;"",'283'!E135,""),"")</f>
        <v/>
      </c>
      <c r="F28" s="40" t="str">
        <f>IF($B28&lt;&gt;"",IF('283'!F135&lt;&gt;"",'283'!F135,""),"")</f>
        <v/>
      </c>
      <c r="G28" s="41" t="str">
        <f>IF($B28&lt;&gt;"",IF('283'!G135&lt;&gt;"",'283'!G135,""),"")</f>
        <v/>
      </c>
      <c r="H28" s="23">
        <v>24</v>
      </c>
      <c r="I28" s="42" t="str">
        <f>IF(AND(LEFT('283'!B135,1)&lt;&gt;"R",LEFT('283'!B135,1)&lt;&gt;""),'283'!B135,"")</f>
        <v/>
      </c>
      <c r="J28" s="3" t="str">
        <f>IF(I28&lt;&gt;"",IF('283'!C135&lt;&gt;"",'283'!C135,""),"")</f>
        <v/>
      </c>
      <c r="K28" s="40" t="str">
        <f>IF($I28&lt;&gt;"",IF('283'!D135&lt;&gt;"",IF(LEFT($I28,1)="N",-'283'!D135,'283'!D135),""),"")</f>
        <v/>
      </c>
      <c r="L28" s="40" t="str">
        <f>IF($I28&lt;&gt;"",IF('283'!E135&lt;&gt;"",IF(LEFT($I28,1)="N",-'283'!E135,'283'!E135),""),"")</f>
        <v/>
      </c>
      <c r="M28" s="40" t="str">
        <f>IF($I28&lt;&gt;"",IF('283'!F135&lt;&gt;"",IF(LEFT($I28,1)="N",-'283'!F135,'283'!F135),""),"")</f>
        <v/>
      </c>
      <c r="N28" s="40" t="str">
        <f>IF($I28&lt;&gt;"",IF('283'!G135&lt;&gt;"",IF(LEFT($I28,1)="N",-'283'!G135,'283'!G135),""),"")</f>
        <v/>
      </c>
      <c r="O28" s="43"/>
      <c r="P28" s="38"/>
      <c r="Q28" s="4">
        <f t="shared" si="16"/>
        <v>45132</v>
      </c>
      <c r="R28" s="24">
        <f t="shared" si="17"/>
        <v>0</v>
      </c>
      <c r="S28" s="25">
        <f t="shared" si="18"/>
        <v>0</v>
      </c>
      <c r="T28" s="24">
        <f t="shared" si="19"/>
        <v>0</v>
      </c>
      <c r="U28" s="25">
        <f t="shared" si="20"/>
        <v>0</v>
      </c>
      <c r="V28" s="24">
        <f t="shared" si="21"/>
        <v>0</v>
      </c>
      <c r="W28" s="25">
        <f t="shared" si="22"/>
        <v>0</v>
      </c>
      <c r="X28" s="24">
        <f t="shared" si="23"/>
        <v>0</v>
      </c>
      <c r="Y28" s="26">
        <f t="shared" si="24"/>
        <v>0</v>
      </c>
      <c r="Z28" s="27">
        <f t="shared" si="25"/>
        <v>0</v>
      </c>
      <c r="AA28" s="28">
        <f t="shared" si="26"/>
        <v>45132</v>
      </c>
      <c r="AB28" s="24">
        <f t="shared" si="27"/>
        <v>0</v>
      </c>
      <c r="AC28" s="25">
        <f t="shared" si="28"/>
        <v>0</v>
      </c>
      <c r="AD28" s="28">
        <f t="shared" si="29"/>
        <v>45132</v>
      </c>
      <c r="AE28" s="24">
        <f t="shared" si="30"/>
        <v>0</v>
      </c>
      <c r="AF28" s="25">
        <f t="shared" si="31"/>
        <v>0</v>
      </c>
      <c r="AG28" s="28">
        <f t="shared" si="32"/>
        <v>45132</v>
      </c>
      <c r="AH28" s="24">
        <f t="shared" si="33"/>
        <v>0</v>
      </c>
      <c r="AI28" s="25">
        <f t="shared" si="34"/>
        <v>0</v>
      </c>
      <c r="AJ28" s="28">
        <f t="shared" si="35"/>
        <v>45132</v>
      </c>
      <c r="AK28" s="24">
        <f t="shared" si="36"/>
        <v>0</v>
      </c>
      <c r="AL28" s="25">
        <f t="shared" si="37"/>
        <v>0</v>
      </c>
      <c r="AM28" s="29">
        <f t="shared" si="38"/>
        <v>0</v>
      </c>
      <c r="AN28" s="28">
        <f t="shared" si="39"/>
        <v>45132</v>
      </c>
      <c r="AO28" s="373">
        <f t="shared" si="0"/>
        <v>0</v>
      </c>
      <c r="AP28" s="374">
        <f t="shared" si="1"/>
        <v>0</v>
      </c>
      <c r="AQ28" s="27">
        <f t="shared" si="2"/>
        <v>0</v>
      </c>
      <c r="AR28" s="25">
        <f t="shared" si="3"/>
        <v>0</v>
      </c>
      <c r="AS28" s="25">
        <f t="shared" si="4"/>
        <v>0</v>
      </c>
      <c r="AT28" s="25">
        <f t="shared" si="5"/>
        <v>0</v>
      </c>
      <c r="AU28" s="29">
        <f t="shared" si="85"/>
        <v>0</v>
      </c>
      <c r="AV28" s="27">
        <f t="shared" si="40"/>
        <v>0</v>
      </c>
      <c r="AW28" s="27">
        <f t="shared" si="41"/>
        <v>0</v>
      </c>
      <c r="AX28" s="27">
        <f t="shared" si="42"/>
        <v>0</v>
      </c>
      <c r="AY28" s="27">
        <f t="shared" si="43"/>
        <v>0</v>
      </c>
      <c r="AZ28" s="2" t="str">
        <f t="shared" si="44"/>
        <v/>
      </c>
      <c r="BA28" s="2" t="str">
        <f t="shared" si="45"/>
        <v/>
      </c>
      <c r="BB28" s="2" t="str">
        <f t="shared" si="46"/>
        <v/>
      </c>
      <c r="BC28" s="2" t="str">
        <f t="shared" si="47"/>
        <v/>
      </c>
      <c r="BD28" s="2" t="str">
        <f t="shared" si="86"/>
        <v/>
      </c>
      <c r="BE28" s="2" t="str">
        <f t="shared" si="48"/>
        <v/>
      </c>
      <c r="BF28" s="2" t="str">
        <f t="shared" si="49"/>
        <v/>
      </c>
      <c r="BG28" s="2" t="str">
        <f t="shared" si="50"/>
        <v/>
      </c>
      <c r="BH28" s="2">
        <f t="shared" si="51"/>
        <v>0</v>
      </c>
      <c r="BI28" s="298" t="str">
        <f t="shared" si="87"/>
        <v/>
      </c>
      <c r="BJ28" s="298" t="str">
        <f t="shared" si="52"/>
        <v/>
      </c>
      <c r="BQ28" s="4">
        <f t="shared" si="55"/>
        <v>45132</v>
      </c>
      <c r="BR28" s="112">
        <f t="shared" si="56"/>
        <v>0</v>
      </c>
      <c r="BS28" s="112">
        <f t="shared" si="57"/>
        <v>0</v>
      </c>
      <c r="BT28" s="112">
        <f t="shared" si="58"/>
        <v>0</v>
      </c>
      <c r="BU28" s="112">
        <f t="shared" si="59"/>
        <v>0</v>
      </c>
      <c r="BV28" s="112">
        <f t="shared" si="60"/>
        <v>0</v>
      </c>
      <c r="CI28" s="4">
        <f t="shared" si="65"/>
        <v>45132</v>
      </c>
      <c r="CJ28" s="50">
        <f ca="1">IF($BH28=0,IF($CO28="",CJ27+R28,IF('283'!$K$251=1,VLOOKUP($CO28,PerStBal,2)+R28,IF('283'!$K$253=1,(VLOOKUP($CO28,PerPortion,2)*VLOOKUP($CO28,PerStBal,6))+R28,GL!BS28))),0)</f>
        <v>0</v>
      </c>
      <c r="CK28" s="425">
        <f ca="1">IF($BH28=0,IF($CO28="",CK27+T28,IF('283'!$K$251=1,IF(mname2&lt;&gt;"",VLOOKUP($CO28,PerStBal,3)+T28,0),IF('283'!$K$253=1,(VLOOKUP($CO28,PerPortion,3)*VLOOKUP($CO28,PerStBal,6))+T28,GL!BT28))),0)</f>
        <v>0</v>
      </c>
      <c r="CL28" s="425">
        <f ca="1">IF($BH28=0,IF($CO28="",CL27+V28,IF('283'!$K$251=1,IF(mname3&lt;&gt;"",VLOOKUP($CO28,PerStBal,4)+V28,0),IF('283'!$K$253=1,(VLOOKUP($CO28,PerPortion,4)*VLOOKUP($CO28,PerStBal,6))+V28,GL!BU28))),0)</f>
        <v>0</v>
      </c>
      <c r="CM28" s="425">
        <f ca="1">IF($BH28=0,IF($CO28="",CM27+X28,IF('283'!$K$251=1,IF(mname4&lt;&gt;"",VLOOKUP($CO28,PerStBal,5)+X28,0),IF('283'!$K$253=1,(VLOOKUP($CO28,PerPortion,5)*VLOOKUP($CO28,PerStBal,6))+X28,GL!BV28))),0)</f>
        <v>0</v>
      </c>
      <c r="CN28" s="50">
        <f t="shared" ca="1" si="66"/>
        <v>0</v>
      </c>
      <c r="CO28" s="4" t="str">
        <f t="shared" ca="1" si="67"/>
        <v/>
      </c>
      <c r="CP28" s="377">
        <f t="shared" si="7"/>
        <v>0</v>
      </c>
      <c r="DI28" s="4">
        <f t="shared" si="70"/>
        <v>45132</v>
      </c>
      <c r="DJ28" s="112">
        <f t="shared" ca="1" si="71"/>
        <v>0</v>
      </c>
      <c r="DK28" s="112">
        <f t="shared" si="72"/>
        <v>0</v>
      </c>
      <c r="DL28" s="4">
        <f t="shared" si="73"/>
        <v>45132</v>
      </c>
      <c r="DM28" s="112">
        <f t="shared" ca="1" si="74"/>
        <v>0</v>
      </c>
      <c r="DN28" s="112">
        <f t="shared" si="75"/>
        <v>0</v>
      </c>
      <c r="DO28" s="4">
        <f t="shared" si="76"/>
        <v>45132</v>
      </c>
      <c r="DP28" s="112">
        <f t="shared" ca="1" si="77"/>
        <v>0</v>
      </c>
      <c r="DQ28" s="112">
        <f t="shared" si="78"/>
        <v>0</v>
      </c>
      <c r="DR28" s="4">
        <f t="shared" si="79"/>
        <v>45132</v>
      </c>
      <c r="DS28" s="112">
        <f t="shared" ca="1" si="80"/>
        <v>0</v>
      </c>
      <c r="DT28" s="112">
        <f t="shared" si="81"/>
        <v>0</v>
      </c>
      <c r="DU28" s="4">
        <f t="shared" si="82"/>
        <v>45132</v>
      </c>
      <c r="DV28" s="112">
        <f t="shared" si="83"/>
        <v>0</v>
      </c>
      <c r="DW28" s="112">
        <f t="shared" si="84"/>
        <v>0</v>
      </c>
    </row>
    <row r="29" spans="2:127" x14ac:dyDescent="0.25">
      <c r="B29" s="39" t="str">
        <f>IF(LEFT('283'!B136,1)="R","Benefits Paid","")</f>
        <v/>
      </c>
      <c r="C29" s="3" t="str">
        <f>IF(B29&lt;&gt;"",IF('283'!C136&lt;&gt;"",'283'!C136,""),"")</f>
        <v/>
      </c>
      <c r="D29" s="40" t="str">
        <f>IF($B29&lt;&gt;"",IF('283'!D136&lt;&gt;"",'283'!D136,""),"")</f>
        <v/>
      </c>
      <c r="E29" s="40" t="str">
        <f>IF($B29&lt;&gt;"",IF('283'!E136&lt;&gt;"",'283'!E136,""),"")</f>
        <v/>
      </c>
      <c r="F29" s="40" t="str">
        <f>IF($B29&lt;&gt;"",IF('283'!F136&lt;&gt;"",'283'!F136,""),"")</f>
        <v/>
      </c>
      <c r="G29" s="41" t="str">
        <f>IF($B29&lt;&gt;"",IF('283'!G136&lt;&gt;"",'283'!G136,""),"")</f>
        <v/>
      </c>
      <c r="H29" s="23">
        <v>25</v>
      </c>
      <c r="I29" s="42" t="str">
        <f>IF(AND(LEFT('283'!B136,1)&lt;&gt;"R",LEFT('283'!B136,1)&lt;&gt;""),'283'!B136,"")</f>
        <v/>
      </c>
      <c r="J29" s="3" t="str">
        <f>IF(I29&lt;&gt;"",IF('283'!C136&lt;&gt;"",'283'!C136,""),"")</f>
        <v/>
      </c>
      <c r="K29" s="40" t="str">
        <f>IF($I29&lt;&gt;"",IF('283'!D136&lt;&gt;"",IF(LEFT($I29,1)="N",-'283'!D136,'283'!D136),""),"")</f>
        <v/>
      </c>
      <c r="L29" s="40" t="str">
        <f>IF($I29&lt;&gt;"",IF('283'!E136&lt;&gt;"",IF(LEFT($I29,1)="N",-'283'!E136,'283'!E136),""),"")</f>
        <v/>
      </c>
      <c r="M29" s="40" t="str">
        <f>IF($I29&lt;&gt;"",IF('283'!F136&lt;&gt;"",IF(LEFT($I29,1)="N",-'283'!F136,'283'!F136),""),"")</f>
        <v/>
      </c>
      <c r="N29" s="40" t="str">
        <f>IF($I29&lt;&gt;"",IF('283'!G136&lt;&gt;"",IF(LEFT($I29,1)="N",-'283'!G136,'283'!G136),""),"")</f>
        <v/>
      </c>
      <c r="O29" s="43"/>
      <c r="P29" s="38"/>
      <c r="Q29" s="4">
        <f t="shared" si="16"/>
        <v>45133</v>
      </c>
      <c r="R29" s="24">
        <f t="shared" si="17"/>
        <v>0</v>
      </c>
      <c r="S29" s="25">
        <f t="shared" si="18"/>
        <v>0</v>
      </c>
      <c r="T29" s="24">
        <f t="shared" si="19"/>
        <v>0</v>
      </c>
      <c r="U29" s="25">
        <f t="shared" si="20"/>
        <v>0</v>
      </c>
      <c r="V29" s="24">
        <f t="shared" si="21"/>
        <v>0</v>
      </c>
      <c r="W29" s="25">
        <f t="shared" si="22"/>
        <v>0</v>
      </c>
      <c r="X29" s="24">
        <f t="shared" si="23"/>
        <v>0</v>
      </c>
      <c r="Y29" s="26">
        <f t="shared" si="24"/>
        <v>0</v>
      </c>
      <c r="Z29" s="27">
        <f t="shared" si="25"/>
        <v>0</v>
      </c>
      <c r="AA29" s="28">
        <f t="shared" si="26"/>
        <v>45133</v>
      </c>
      <c r="AB29" s="24">
        <f t="shared" si="27"/>
        <v>0</v>
      </c>
      <c r="AC29" s="25">
        <f t="shared" si="28"/>
        <v>0</v>
      </c>
      <c r="AD29" s="28">
        <f t="shared" si="29"/>
        <v>45133</v>
      </c>
      <c r="AE29" s="24">
        <f t="shared" si="30"/>
        <v>0</v>
      </c>
      <c r="AF29" s="25">
        <f t="shared" si="31"/>
        <v>0</v>
      </c>
      <c r="AG29" s="28">
        <f t="shared" si="32"/>
        <v>45133</v>
      </c>
      <c r="AH29" s="24">
        <f t="shared" si="33"/>
        <v>0</v>
      </c>
      <c r="AI29" s="25">
        <f t="shared" si="34"/>
        <v>0</v>
      </c>
      <c r="AJ29" s="28">
        <f t="shared" si="35"/>
        <v>45133</v>
      </c>
      <c r="AK29" s="24">
        <f t="shared" si="36"/>
        <v>0</v>
      </c>
      <c r="AL29" s="25">
        <f t="shared" si="37"/>
        <v>0</v>
      </c>
      <c r="AM29" s="29">
        <f t="shared" si="38"/>
        <v>0</v>
      </c>
      <c r="AN29" s="28">
        <f t="shared" si="39"/>
        <v>45133</v>
      </c>
      <c r="AO29" s="373">
        <f t="shared" si="0"/>
        <v>0</v>
      </c>
      <c r="AP29" s="374">
        <f t="shared" si="1"/>
        <v>0</v>
      </c>
      <c r="AQ29" s="27">
        <f t="shared" si="2"/>
        <v>0</v>
      </c>
      <c r="AR29" s="25">
        <f t="shared" si="3"/>
        <v>0</v>
      </c>
      <c r="AS29" s="25">
        <f t="shared" si="4"/>
        <v>0</v>
      </c>
      <c r="AT29" s="25">
        <f t="shared" si="5"/>
        <v>0</v>
      </c>
      <c r="AU29" s="29">
        <f t="shared" si="85"/>
        <v>0</v>
      </c>
      <c r="AV29" s="27">
        <f t="shared" si="40"/>
        <v>0</v>
      </c>
      <c r="AW29" s="27">
        <f t="shared" si="41"/>
        <v>0</v>
      </c>
      <c r="AX29" s="27">
        <f t="shared" si="42"/>
        <v>0</v>
      </c>
      <c r="AY29" s="27">
        <f t="shared" si="43"/>
        <v>0</v>
      </c>
      <c r="AZ29" s="2" t="str">
        <f t="shared" si="44"/>
        <v/>
      </c>
      <c r="BA29" s="2" t="str">
        <f t="shared" si="45"/>
        <v/>
      </c>
      <c r="BB29" s="2" t="str">
        <f t="shared" si="46"/>
        <v/>
      </c>
      <c r="BC29" s="2" t="str">
        <f t="shared" si="47"/>
        <v/>
      </c>
      <c r="BD29" s="2" t="str">
        <f t="shared" si="86"/>
        <v/>
      </c>
      <c r="BE29" s="2" t="str">
        <f t="shared" si="48"/>
        <v/>
      </c>
      <c r="BF29" s="2" t="str">
        <f t="shared" si="49"/>
        <v/>
      </c>
      <c r="BG29" s="2" t="str">
        <f t="shared" si="50"/>
        <v/>
      </c>
      <c r="BH29" s="2">
        <f t="shared" si="51"/>
        <v>0</v>
      </c>
      <c r="BI29" s="298" t="str">
        <f t="shared" si="87"/>
        <v/>
      </c>
      <c r="BJ29" s="298" t="str">
        <f t="shared" si="52"/>
        <v/>
      </c>
      <c r="BQ29" s="4">
        <f t="shared" si="55"/>
        <v>45133</v>
      </c>
      <c r="BR29" s="112">
        <f t="shared" si="56"/>
        <v>0</v>
      </c>
      <c r="BS29" s="112">
        <f t="shared" si="57"/>
        <v>0</v>
      </c>
      <c r="BT29" s="112">
        <f t="shared" si="58"/>
        <v>0</v>
      </c>
      <c r="BU29" s="112">
        <f t="shared" si="59"/>
        <v>0</v>
      </c>
      <c r="BV29" s="112">
        <f t="shared" si="60"/>
        <v>0</v>
      </c>
      <c r="BX29" s="4"/>
      <c r="BY29" s="4"/>
      <c r="CI29" s="4">
        <f t="shared" si="65"/>
        <v>45133</v>
      </c>
      <c r="CJ29" s="50">
        <f ca="1">IF($BH29=0,IF($CO29="",CJ28+R29,IF('283'!$K$251=1,VLOOKUP($CO29,PerStBal,2)+R29,IF('283'!$K$253=1,(VLOOKUP($CO29,PerPortion,2)*VLOOKUP($CO29,PerStBal,6))+R29,GL!BS29))),0)</f>
        <v>0</v>
      </c>
      <c r="CK29" s="425">
        <f ca="1">IF($BH29=0,IF($CO29="",CK28+T29,IF('283'!$K$251=1,IF(mname2&lt;&gt;"",VLOOKUP($CO29,PerStBal,3)+T29,0),IF('283'!$K$253=1,(VLOOKUP($CO29,PerPortion,3)*VLOOKUP($CO29,PerStBal,6))+T29,GL!BT29))),0)</f>
        <v>0</v>
      </c>
      <c r="CL29" s="425">
        <f ca="1">IF($BH29=0,IF($CO29="",CL28+V29,IF('283'!$K$251=1,IF(mname3&lt;&gt;"",VLOOKUP($CO29,PerStBal,4)+V29,0),IF('283'!$K$253=1,(VLOOKUP($CO29,PerPortion,4)*VLOOKUP($CO29,PerStBal,6))+V29,GL!BU29))),0)</f>
        <v>0</v>
      </c>
      <c r="CM29" s="425">
        <f ca="1">IF($BH29=0,IF($CO29="",CM28+X29,IF('283'!$K$251=1,IF(mname4&lt;&gt;"",VLOOKUP($CO29,PerStBal,5)+X29,0),IF('283'!$K$253=1,(VLOOKUP($CO29,PerPortion,5)*VLOOKUP($CO29,PerStBal,6))+X29,GL!BV29))),0)</f>
        <v>0</v>
      </c>
      <c r="CN29" s="50">
        <f t="shared" ca="1" si="66"/>
        <v>0</v>
      </c>
      <c r="CO29" s="4" t="str">
        <f t="shared" ca="1" si="67"/>
        <v/>
      </c>
      <c r="CP29" s="377">
        <f t="shared" si="7"/>
        <v>0</v>
      </c>
      <c r="DI29" s="4">
        <f t="shared" si="70"/>
        <v>45133</v>
      </c>
      <c r="DJ29" s="112">
        <f t="shared" ca="1" si="71"/>
        <v>0</v>
      </c>
      <c r="DK29" s="112">
        <f t="shared" si="72"/>
        <v>0</v>
      </c>
      <c r="DL29" s="4">
        <f t="shared" si="73"/>
        <v>45133</v>
      </c>
      <c r="DM29" s="112">
        <f t="shared" ca="1" si="74"/>
        <v>0</v>
      </c>
      <c r="DN29" s="112">
        <f t="shared" si="75"/>
        <v>0</v>
      </c>
      <c r="DO29" s="4">
        <f t="shared" si="76"/>
        <v>45133</v>
      </c>
      <c r="DP29" s="112">
        <f t="shared" ca="1" si="77"/>
        <v>0</v>
      </c>
      <c r="DQ29" s="112">
        <f t="shared" si="78"/>
        <v>0</v>
      </c>
      <c r="DR29" s="4">
        <f t="shared" si="79"/>
        <v>45133</v>
      </c>
      <c r="DS29" s="112">
        <f t="shared" ca="1" si="80"/>
        <v>0</v>
      </c>
      <c r="DT29" s="112">
        <f t="shared" si="81"/>
        <v>0</v>
      </c>
      <c r="DU29" s="4">
        <f t="shared" si="82"/>
        <v>45133</v>
      </c>
      <c r="DV29" s="112">
        <f t="shared" si="83"/>
        <v>0</v>
      </c>
      <c r="DW29" s="112">
        <f t="shared" si="84"/>
        <v>0</v>
      </c>
    </row>
    <row r="30" spans="2:127" x14ac:dyDescent="0.25">
      <c r="B30" s="39" t="str">
        <f>IF(LEFT('283'!B137,1)="R","Benefits Paid","")</f>
        <v/>
      </c>
      <c r="C30" s="3" t="str">
        <f>IF(B30&lt;&gt;"",IF('283'!C137&lt;&gt;"",'283'!C137,""),"")</f>
        <v/>
      </c>
      <c r="D30" s="40" t="str">
        <f>IF($B30&lt;&gt;"",IF('283'!D137&lt;&gt;"",'283'!D137,""),"")</f>
        <v/>
      </c>
      <c r="E30" s="40" t="str">
        <f>IF($B30&lt;&gt;"",IF('283'!E137&lt;&gt;"",'283'!E137,""),"")</f>
        <v/>
      </c>
      <c r="F30" s="40" t="str">
        <f>IF($B30&lt;&gt;"",IF('283'!F137&lt;&gt;"",'283'!F137,""),"")</f>
        <v/>
      </c>
      <c r="G30" s="41" t="str">
        <f>IF($B30&lt;&gt;"",IF('283'!G137&lt;&gt;"",'283'!G137,""),"")</f>
        <v/>
      </c>
      <c r="H30" s="23">
        <v>26</v>
      </c>
      <c r="I30" s="42" t="str">
        <f>IF(AND(LEFT('283'!B137,1)&lt;&gt;"R",LEFT('283'!B137,1)&lt;&gt;""),'283'!B137,"")</f>
        <v/>
      </c>
      <c r="J30" s="3" t="str">
        <f>IF(I30&lt;&gt;"",IF('283'!C137&lt;&gt;"",'283'!C137,""),"")</f>
        <v/>
      </c>
      <c r="K30" s="40" t="str">
        <f>IF($I30&lt;&gt;"",IF('283'!D137&lt;&gt;"",IF(LEFT($I30,1)="N",-'283'!D137,'283'!D137),""),"")</f>
        <v/>
      </c>
      <c r="L30" s="40" t="str">
        <f>IF($I30&lt;&gt;"",IF('283'!E137&lt;&gt;"",IF(LEFT($I30,1)="N",-'283'!E137,'283'!E137),""),"")</f>
        <v/>
      </c>
      <c r="M30" s="40" t="str">
        <f>IF($I30&lt;&gt;"",IF('283'!F137&lt;&gt;"",IF(LEFT($I30,1)="N",-'283'!F137,'283'!F137),""),"")</f>
        <v/>
      </c>
      <c r="N30" s="40" t="str">
        <f>IF($I30&lt;&gt;"",IF('283'!G137&lt;&gt;"",IF(LEFT($I30,1)="N",-'283'!G137,'283'!G137),""),"")</f>
        <v/>
      </c>
      <c r="O30" s="43"/>
      <c r="P30" s="38"/>
      <c r="Q30" s="4">
        <f t="shared" si="16"/>
        <v>45134</v>
      </c>
      <c r="R30" s="24">
        <f t="shared" si="17"/>
        <v>0</v>
      </c>
      <c r="S30" s="25">
        <f t="shared" si="18"/>
        <v>0</v>
      </c>
      <c r="T30" s="24">
        <f t="shared" si="19"/>
        <v>0</v>
      </c>
      <c r="U30" s="25">
        <f t="shared" si="20"/>
        <v>0</v>
      </c>
      <c r="V30" s="24">
        <f t="shared" si="21"/>
        <v>0</v>
      </c>
      <c r="W30" s="25">
        <f t="shared" si="22"/>
        <v>0</v>
      </c>
      <c r="X30" s="24">
        <f t="shared" si="23"/>
        <v>0</v>
      </c>
      <c r="Y30" s="26">
        <f t="shared" si="24"/>
        <v>0</v>
      </c>
      <c r="Z30" s="27">
        <f t="shared" si="25"/>
        <v>0</v>
      </c>
      <c r="AA30" s="28">
        <f t="shared" si="26"/>
        <v>45134</v>
      </c>
      <c r="AB30" s="24">
        <f t="shared" si="27"/>
        <v>0</v>
      </c>
      <c r="AC30" s="25">
        <f t="shared" si="28"/>
        <v>0</v>
      </c>
      <c r="AD30" s="28">
        <f t="shared" si="29"/>
        <v>45134</v>
      </c>
      <c r="AE30" s="24">
        <f t="shared" si="30"/>
        <v>0</v>
      </c>
      <c r="AF30" s="25">
        <f t="shared" si="31"/>
        <v>0</v>
      </c>
      <c r="AG30" s="28">
        <f t="shared" si="32"/>
        <v>45134</v>
      </c>
      <c r="AH30" s="24">
        <f t="shared" si="33"/>
        <v>0</v>
      </c>
      <c r="AI30" s="25">
        <f t="shared" si="34"/>
        <v>0</v>
      </c>
      <c r="AJ30" s="28">
        <f t="shared" si="35"/>
        <v>45134</v>
      </c>
      <c r="AK30" s="24">
        <f t="shared" si="36"/>
        <v>0</v>
      </c>
      <c r="AL30" s="25">
        <f t="shared" si="37"/>
        <v>0</v>
      </c>
      <c r="AM30" s="29">
        <f t="shared" si="38"/>
        <v>0</v>
      </c>
      <c r="AN30" s="28">
        <f t="shared" si="39"/>
        <v>45134</v>
      </c>
      <c r="AO30" s="373">
        <f t="shared" si="0"/>
        <v>0</v>
      </c>
      <c r="AP30" s="374">
        <f t="shared" si="1"/>
        <v>0</v>
      </c>
      <c r="AQ30" s="27">
        <f t="shared" si="2"/>
        <v>0</v>
      </c>
      <c r="AR30" s="25">
        <f t="shared" si="3"/>
        <v>0</v>
      </c>
      <c r="AS30" s="25">
        <f t="shared" si="4"/>
        <v>0</v>
      </c>
      <c r="AT30" s="25">
        <f t="shared" si="5"/>
        <v>0</v>
      </c>
      <c r="AU30" s="29">
        <f t="shared" si="85"/>
        <v>0</v>
      </c>
      <c r="AV30" s="27">
        <f t="shared" si="40"/>
        <v>0</v>
      </c>
      <c r="AW30" s="27">
        <f t="shared" si="41"/>
        <v>0</v>
      </c>
      <c r="AX30" s="27">
        <f t="shared" si="42"/>
        <v>0</v>
      </c>
      <c r="AY30" s="27">
        <f t="shared" si="43"/>
        <v>0</v>
      </c>
      <c r="AZ30" s="2" t="str">
        <f t="shared" si="44"/>
        <v/>
      </c>
      <c r="BA30" s="2" t="str">
        <f t="shared" si="45"/>
        <v/>
      </c>
      <c r="BB30" s="2" t="str">
        <f t="shared" si="46"/>
        <v/>
      </c>
      <c r="BC30" s="2" t="str">
        <f t="shared" si="47"/>
        <v/>
      </c>
      <c r="BD30" s="2" t="str">
        <f t="shared" si="86"/>
        <v/>
      </c>
      <c r="BE30" s="2" t="str">
        <f t="shared" si="48"/>
        <v/>
      </c>
      <c r="BF30" s="2" t="str">
        <f t="shared" si="49"/>
        <v/>
      </c>
      <c r="BG30" s="2" t="str">
        <f t="shared" si="50"/>
        <v/>
      </c>
      <c r="BH30" s="2">
        <f t="shared" si="51"/>
        <v>0</v>
      </c>
      <c r="BI30" s="298" t="str">
        <f t="shared" si="87"/>
        <v/>
      </c>
      <c r="BJ30" s="298" t="str">
        <f t="shared" si="52"/>
        <v/>
      </c>
      <c r="BQ30" s="4">
        <f t="shared" si="55"/>
        <v>45134</v>
      </c>
      <c r="BR30" s="112">
        <f t="shared" si="56"/>
        <v>0</v>
      </c>
      <c r="BS30" s="112">
        <f t="shared" si="57"/>
        <v>0</v>
      </c>
      <c r="BT30" s="112">
        <f t="shared" si="58"/>
        <v>0</v>
      </c>
      <c r="BU30" s="112">
        <f t="shared" si="59"/>
        <v>0</v>
      </c>
      <c r="BV30" s="112">
        <f t="shared" si="60"/>
        <v>0</v>
      </c>
      <c r="BX30" s="4"/>
      <c r="BY30" s="4"/>
      <c r="CI30" s="4">
        <f t="shared" si="65"/>
        <v>45134</v>
      </c>
      <c r="CJ30" s="50">
        <f ca="1">IF($BH30=0,IF($CO30="",CJ29+R30,IF('283'!$K$251=1,VLOOKUP($CO30,PerStBal,2)+R30,IF('283'!$K$253=1,(VLOOKUP($CO30,PerPortion,2)*VLOOKUP($CO30,PerStBal,6))+R30,GL!BS30))),0)</f>
        <v>0</v>
      </c>
      <c r="CK30" s="425">
        <f ca="1">IF($BH30=0,IF($CO30="",CK29+T30,IF('283'!$K$251=1,IF(mname2&lt;&gt;"",VLOOKUP($CO30,PerStBal,3)+T30,0),IF('283'!$K$253=1,(VLOOKUP($CO30,PerPortion,3)*VLOOKUP($CO30,PerStBal,6))+T30,GL!BT30))),0)</f>
        <v>0</v>
      </c>
      <c r="CL30" s="425">
        <f ca="1">IF($BH30=0,IF($CO30="",CL29+V30,IF('283'!$K$251=1,IF(mname3&lt;&gt;"",VLOOKUP($CO30,PerStBal,4)+V30,0),IF('283'!$K$253=1,(VLOOKUP($CO30,PerPortion,4)*VLOOKUP($CO30,PerStBal,6))+V30,GL!BU30))),0)</f>
        <v>0</v>
      </c>
      <c r="CM30" s="425">
        <f ca="1">IF($BH30=0,IF($CO30="",CM29+X30,IF('283'!$K$251=1,IF(mname4&lt;&gt;"",VLOOKUP($CO30,PerStBal,5)+X30,0),IF('283'!$K$253=1,(VLOOKUP($CO30,PerPortion,5)*VLOOKUP($CO30,PerStBal,6))+X30,GL!BV30))),0)</f>
        <v>0</v>
      </c>
      <c r="CN30" s="50">
        <f t="shared" ca="1" si="66"/>
        <v>0</v>
      </c>
      <c r="CO30" s="4" t="str">
        <f t="shared" ca="1" si="67"/>
        <v/>
      </c>
      <c r="CP30" s="377">
        <f t="shared" si="7"/>
        <v>0</v>
      </c>
      <c r="DI30" s="4">
        <f t="shared" si="70"/>
        <v>45134</v>
      </c>
      <c r="DJ30" s="112">
        <f t="shared" ca="1" si="71"/>
        <v>0</v>
      </c>
      <c r="DK30" s="112">
        <f t="shared" si="72"/>
        <v>0</v>
      </c>
      <c r="DL30" s="4">
        <f t="shared" si="73"/>
        <v>45134</v>
      </c>
      <c r="DM30" s="112">
        <f t="shared" ca="1" si="74"/>
        <v>0</v>
      </c>
      <c r="DN30" s="112">
        <f t="shared" si="75"/>
        <v>0</v>
      </c>
      <c r="DO30" s="4">
        <f t="shared" si="76"/>
        <v>45134</v>
      </c>
      <c r="DP30" s="112">
        <f t="shared" ca="1" si="77"/>
        <v>0</v>
      </c>
      <c r="DQ30" s="112">
        <f t="shared" si="78"/>
        <v>0</v>
      </c>
      <c r="DR30" s="4">
        <f t="shared" si="79"/>
        <v>45134</v>
      </c>
      <c r="DS30" s="112">
        <f t="shared" ca="1" si="80"/>
        <v>0</v>
      </c>
      <c r="DT30" s="112">
        <f t="shared" si="81"/>
        <v>0</v>
      </c>
      <c r="DU30" s="4">
        <f t="shared" si="82"/>
        <v>45134</v>
      </c>
      <c r="DV30" s="112">
        <f t="shared" si="83"/>
        <v>0</v>
      </c>
      <c r="DW30" s="112">
        <f t="shared" si="84"/>
        <v>0</v>
      </c>
    </row>
    <row r="31" spans="2:127" x14ac:dyDescent="0.25">
      <c r="B31" s="39" t="str">
        <f>IF(LEFT('283'!B138,1)="R","Benefits Paid","")</f>
        <v/>
      </c>
      <c r="C31" s="3" t="str">
        <f>IF(B31&lt;&gt;"",IF('283'!C138&lt;&gt;"",'283'!C138,""),"")</f>
        <v/>
      </c>
      <c r="D31" s="40" t="str">
        <f>IF($B31&lt;&gt;"",IF('283'!D138&lt;&gt;"",'283'!D138,""),"")</f>
        <v/>
      </c>
      <c r="E31" s="40" t="str">
        <f>IF($B31&lt;&gt;"",IF('283'!E138&lt;&gt;"",'283'!E138,""),"")</f>
        <v/>
      </c>
      <c r="F31" s="40" t="str">
        <f>IF($B31&lt;&gt;"",IF('283'!F138&lt;&gt;"",'283'!F138,""),"")</f>
        <v/>
      </c>
      <c r="G31" s="41" t="str">
        <f>IF($B31&lt;&gt;"",IF('283'!G138&lt;&gt;"",'283'!G138,""),"")</f>
        <v/>
      </c>
      <c r="H31" s="23">
        <v>27</v>
      </c>
      <c r="I31" s="42" t="str">
        <f>IF(AND(LEFT('283'!B138,1)&lt;&gt;"R",LEFT('283'!B138,1)&lt;&gt;""),'283'!B138,"")</f>
        <v/>
      </c>
      <c r="J31" s="3" t="str">
        <f>IF(I31&lt;&gt;"",IF('283'!C138&lt;&gt;"",'283'!C138,""),"")</f>
        <v/>
      </c>
      <c r="K31" s="40" t="str">
        <f>IF($I31&lt;&gt;"",IF('283'!D138&lt;&gt;"",IF(LEFT($I31,1)="N",-'283'!D138,'283'!D138),""),"")</f>
        <v/>
      </c>
      <c r="L31" s="40" t="str">
        <f>IF($I31&lt;&gt;"",IF('283'!E138&lt;&gt;"",IF(LEFT($I31,1)="N",-'283'!E138,'283'!E138),""),"")</f>
        <v/>
      </c>
      <c r="M31" s="40" t="str">
        <f>IF($I31&lt;&gt;"",IF('283'!F138&lt;&gt;"",IF(LEFT($I31,1)="N",-'283'!F138,'283'!F138),""),"")</f>
        <v/>
      </c>
      <c r="N31" s="40" t="str">
        <f>IF($I31&lt;&gt;"",IF('283'!G138&lt;&gt;"",IF(LEFT($I31,1)="N",-'283'!G138,'283'!G138),""),"")</f>
        <v/>
      </c>
      <c r="O31" s="43"/>
      <c r="P31" s="38"/>
      <c r="Q31" s="4">
        <f t="shared" si="16"/>
        <v>45135</v>
      </c>
      <c r="R31" s="24">
        <f t="shared" si="17"/>
        <v>0</v>
      </c>
      <c r="S31" s="25">
        <f t="shared" si="18"/>
        <v>0</v>
      </c>
      <c r="T31" s="24">
        <f t="shared" si="19"/>
        <v>0</v>
      </c>
      <c r="U31" s="25">
        <f t="shared" si="20"/>
        <v>0</v>
      </c>
      <c r="V31" s="24">
        <f t="shared" si="21"/>
        <v>0</v>
      </c>
      <c r="W31" s="25">
        <f t="shared" si="22"/>
        <v>0</v>
      </c>
      <c r="X31" s="24">
        <f t="shared" si="23"/>
        <v>0</v>
      </c>
      <c r="Y31" s="26">
        <f t="shared" si="24"/>
        <v>0</v>
      </c>
      <c r="Z31" s="27">
        <f t="shared" si="25"/>
        <v>0</v>
      </c>
      <c r="AA31" s="28">
        <f t="shared" si="26"/>
        <v>45135</v>
      </c>
      <c r="AB31" s="24">
        <f t="shared" si="27"/>
        <v>0</v>
      </c>
      <c r="AC31" s="25">
        <f t="shared" si="28"/>
        <v>0</v>
      </c>
      <c r="AD31" s="28">
        <f t="shared" si="29"/>
        <v>45135</v>
      </c>
      <c r="AE31" s="24">
        <f t="shared" si="30"/>
        <v>0</v>
      </c>
      <c r="AF31" s="25">
        <f t="shared" si="31"/>
        <v>0</v>
      </c>
      <c r="AG31" s="28">
        <f t="shared" si="32"/>
        <v>45135</v>
      </c>
      <c r="AH31" s="24">
        <f t="shared" si="33"/>
        <v>0</v>
      </c>
      <c r="AI31" s="25">
        <f t="shared" si="34"/>
        <v>0</v>
      </c>
      <c r="AJ31" s="28">
        <f t="shared" si="35"/>
        <v>45135</v>
      </c>
      <c r="AK31" s="24">
        <f t="shared" si="36"/>
        <v>0</v>
      </c>
      <c r="AL31" s="25">
        <f t="shared" si="37"/>
        <v>0</v>
      </c>
      <c r="AM31" s="29">
        <f t="shared" si="38"/>
        <v>0</v>
      </c>
      <c r="AN31" s="28">
        <f t="shared" si="39"/>
        <v>45135</v>
      </c>
      <c r="AO31" s="373">
        <f t="shared" si="0"/>
        <v>0</v>
      </c>
      <c r="AP31" s="374">
        <f t="shared" si="1"/>
        <v>0</v>
      </c>
      <c r="AQ31" s="27">
        <f t="shared" si="2"/>
        <v>0</v>
      </c>
      <c r="AR31" s="25">
        <f t="shared" si="3"/>
        <v>0</v>
      </c>
      <c r="AS31" s="25">
        <f t="shared" si="4"/>
        <v>0</v>
      </c>
      <c r="AT31" s="25">
        <f t="shared" si="5"/>
        <v>0</v>
      </c>
      <c r="AU31" s="29">
        <f t="shared" si="85"/>
        <v>0</v>
      </c>
      <c r="AV31" s="27">
        <f t="shared" si="40"/>
        <v>0</v>
      </c>
      <c r="AW31" s="27">
        <f t="shared" si="41"/>
        <v>0</v>
      </c>
      <c r="AX31" s="27">
        <f t="shared" si="42"/>
        <v>0</v>
      </c>
      <c r="AY31" s="27">
        <f t="shared" si="43"/>
        <v>0</v>
      </c>
      <c r="AZ31" s="2" t="str">
        <f t="shared" si="44"/>
        <v/>
      </c>
      <c r="BA31" s="2" t="str">
        <f t="shared" si="45"/>
        <v/>
      </c>
      <c r="BB31" s="2" t="str">
        <f t="shared" si="46"/>
        <v/>
      </c>
      <c r="BC31" s="2" t="str">
        <f t="shared" si="47"/>
        <v/>
      </c>
      <c r="BD31" s="2" t="str">
        <f t="shared" si="86"/>
        <v/>
      </c>
      <c r="BE31" s="2" t="str">
        <f t="shared" si="48"/>
        <v/>
      </c>
      <c r="BF31" s="2" t="str">
        <f t="shared" si="49"/>
        <v/>
      </c>
      <c r="BG31" s="2" t="str">
        <f t="shared" si="50"/>
        <v/>
      </c>
      <c r="BH31" s="2">
        <f t="shared" si="51"/>
        <v>0</v>
      </c>
      <c r="BI31" s="298" t="str">
        <f t="shared" si="87"/>
        <v/>
      </c>
      <c r="BJ31" s="298" t="str">
        <f t="shared" si="52"/>
        <v/>
      </c>
      <c r="BQ31" s="4">
        <f t="shared" si="55"/>
        <v>45135</v>
      </c>
      <c r="BR31" s="112">
        <f t="shared" si="56"/>
        <v>0</v>
      </c>
      <c r="BS31" s="112">
        <f t="shared" si="57"/>
        <v>0</v>
      </c>
      <c r="BT31" s="112">
        <f t="shared" si="58"/>
        <v>0</v>
      </c>
      <c r="BU31" s="112">
        <f t="shared" si="59"/>
        <v>0</v>
      </c>
      <c r="BV31" s="112">
        <f t="shared" si="60"/>
        <v>0</v>
      </c>
      <c r="BX31" s="4"/>
      <c r="BY31" s="4"/>
      <c r="CI31" s="4">
        <f t="shared" si="65"/>
        <v>45135</v>
      </c>
      <c r="CJ31" s="50">
        <f ca="1">IF($BH31=0,IF($CO31="",CJ30+R31,IF('283'!$K$251=1,VLOOKUP($CO31,PerStBal,2)+R31,IF('283'!$K$253=1,(VLOOKUP($CO31,PerPortion,2)*VLOOKUP($CO31,PerStBal,6))+R31,GL!BS31))),0)</f>
        <v>0</v>
      </c>
      <c r="CK31" s="425">
        <f ca="1">IF($BH31=0,IF($CO31="",CK30+T31,IF('283'!$K$251=1,IF(mname2&lt;&gt;"",VLOOKUP($CO31,PerStBal,3)+T31,0),IF('283'!$K$253=1,(VLOOKUP($CO31,PerPortion,3)*VLOOKUP($CO31,PerStBal,6))+T31,GL!BT31))),0)</f>
        <v>0</v>
      </c>
      <c r="CL31" s="425">
        <f ca="1">IF($BH31=0,IF($CO31="",CL30+V31,IF('283'!$K$251=1,IF(mname3&lt;&gt;"",VLOOKUP($CO31,PerStBal,4)+V31,0),IF('283'!$K$253=1,(VLOOKUP($CO31,PerPortion,4)*VLOOKUP($CO31,PerStBal,6))+V31,GL!BU31))),0)</f>
        <v>0</v>
      </c>
      <c r="CM31" s="425">
        <f ca="1">IF($BH31=0,IF($CO31="",CM30+X31,IF('283'!$K$251=1,IF(mname4&lt;&gt;"",VLOOKUP($CO31,PerStBal,5)+X31,0),IF('283'!$K$253=1,(VLOOKUP($CO31,PerPortion,5)*VLOOKUP($CO31,PerStBal,6))+X31,GL!BV31))),0)</f>
        <v>0</v>
      </c>
      <c r="CN31" s="50">
        <f t="shared" ca="1" si="66"/>
        <v>0</v>
      </c>
      <c r="CO31" s="4" t="str">
        <f t="shared" ca="1" si="67"/>
        <v/>
      </c>
      <c r="CP31" s="377">
        <f t="shared" si="7"/>
        <v>0</v>
      </c>
      <c r="DI31" s="4">
        <f t="shared" si="70"/>
        <v>45135</v>
      </c>
      <c r="DJ31" s="112">
        <f t="shared" ca="1" si="71"/>
        <v>0</v>
      </c>
      <c r="DK31" s="112">
        <f t="shared" si="72"/>
        <v>0</v>
      </c>
      <c r="DL31" s="4">
        <f t="shared" si="73"/>
        <v>45135</v>
      </c>
      <c r="DM31" s="112">
        <f t="shared" ca="1" si="74"/>
        <v>0</v>
      </c>
      <c r="DN31" s="112">
        <f t="shared" si="75"/>
        <v>0</v>
      </c>
      <c r="DO31" s="4">
        <f t="shared" si="76"/>
        <v>45135</v>
      </c>
      <c r="DP31" s="112">
        <f t="shared" ca="1" si="77"/>
        <v>0</v>
      </c>
      <c r="DQ31" s="112">
        <f t="shared" si="78"/>
        <v>0</v>
      </c>
      <c r="DR31" s="4">
        <f t="shared" si="79"/>
        <v>45135</v>
      </c>
      <c r="DS31" s="112">
        <f t="shared" ca="1" si="80"/>
        <v>0</v>
      </c>
      <c r="DT31" s="112">
        <f t="shared" si="81"/>
        <v>0</v>
      </c>
      <c r="DU31" s="4">
        <f t="shared" si="82"/>
        <v>45135</v>
      </c>
      <c r="DV31" s="112">
        <f t="shared" si="83"/>
        <v>0</v>
      </c>
      <c r="DW31" s="112">
        <f t="shared" si="84"/>
        <v>0</v>
      </c>
    </row>
    <row r="32" spans="2:127" x14ac:dyDescent="0.25">
      <c r="B32" s="39" t="str">
        <f>IF(LEFT('283'!B139,1)="R","Benefits Paid","")</f>
        <v/>
      </c>
      <c r="C32" s="3" t="str">
        <f>IF(B32&lt;&gt;"",IF('283'!C139&lt;&gt;"",'283'!C139,""),"")</f>
        <v/>
      </c>
      <c r="D32" s="40" t="str">
        <f>IF($B32&lt;&gt;"",IF('283'!D139&lt;&gt;"",'283'!D139,""),"")</f>
        <v/>
      </c>
      <c r="E32" s="40" t="str">
        <f>IF($B32&lt;&gt;"",IF('283'!E139&lt;&gt;"",'283'!E139,""),"")</f>
        <v/>
      </c>
      <c r="F32" s="40" t="str">
        <f>IF($B32&lt;&gt;"",IF('283'!F139&lt;&gt;"",'283'!F139,""),"")</f>
        <v/>
      </c>
      <c r="G32" s="41" t="str">
        <f>IF($B32&lt;&gt;"",IF('283'!G139&lt;&gt;"",'283'!G139,""),"")</f>
        <v/>
      </c>
      <c r="H32" s="23">
        <v>28</v>
      </c>
      <c r="I32" s="42" t="str">
        <f>IF(AND(LEFT('283'!B139,1)&lt;&gt;"R",LEFT('283'!B139,1)&lt;&gt;""),'283'!B139,"")</f>
        <v/>
      </c>
      <c r="J32" s="3" t="str">
        <f>IF(I32&lt;&gt;"",IF('283'!C139&lt;&gt;"",'283'!C139,""),"")</f>
        <v/>
      </c>
      <c r="K32" s="40" t="str">
        <f>IF($I32&lt;&gt;"",IF('283'!D139&lt;&gt;"",IF(LEFT($I32,1)="N",-'283'!D139,'283'!D139),""),"")</f>
        <v/>
      </c>
      <c r="L32" s="40" t="str">
        <f>IF($I32&lt;&gt;"",IF('283'!E139&lt;&gt;"",IF(LEFT($I32,1)="N",-'283'!E139,'283'!E139),""),"")</f>
        <v/>
      </c>
      <c r="M32" s="40" t="str">
        <f>IF($I32&lt;&gt;"",IF('283'!F139&lt;&gt;"",IF(LEFT($I32,1)="N",-'283'!F139,'283'!F139),""),"")</f>
        <v/>
      </c>
      <c r="N32" s="40" t="str">
        <f>IF($I32&lt;&gt;"",IF('283'!G139&lt;&gt;"",IF(LEFT($I32,1)="N",-'283'!G139,'283'!G139),""),"")</f>
        <v/>
      </c>
      <c r="O32" s="43"/>
      <c r="P32" s="38"/>
      <c r="Q32" s="4">
        <f t="shared" si="16"/>
        <v>45136</v>
      </c>
      <c r="R32" s="24">
        <f t="shared" si="17"/>
        <v>0</v>
      </c>
      <c r="S32" s="25">
        <f t="shared" si="18"/>
        <v>0</v>
      </c>
      <c r="T32" s="24">
        <f t="shared" si="19"/>
        <v>0</v>
      </c>
      <c r="U32" s="25">
        <f t="shared" si="20"/>
        <v>0</v>
      </c>
      <c r="V32" s="24">
        <f t="shared" si="21"/>
        <v>0</v>
      </c>
      <c r="W32" s="25">
        <f t="shared" si="22"/>
        <v>0</v>
      </c>
      <c r="X32" s="24">
        <f t="shared" si="23"/>
        <v>0</v>
      </c>
      <c r="Y32" s="26">
        <f t="shared" si="24"/>
        <v>0</v>
      </c>
      <c r="Z32" s="27">
        <f t="shared" si="25"/>
        <v>0</v>
      </c>
      <c r="AA32" s="28">
        <f t="shared" si="26"/>
        <v>45136</v>
      </c>
      <c r="AB32" s="24">
        <f t="shared" si="27"/>
        <v>0</v>
      </c>
      <c r="AC32" s="25">
        <f t="shared" si="28"/>
        <v>0</v>
      </c>
      <c r="AD32" s="28">
        <f t="shared" si="29"/>
        <v>45136</v>
      </c>
      <c r="AE32" s="24">
        <f t="shared" si="30"/>
        <v>0</v>
      </c>
      <c r="AF32" s="25">
        <f t="shared" si="31"/>
        <v>0</v>
      </c>
      <c r="AG32" s="28">
        <f t="shared" si="32"/>
        <v>45136</v>
      </c>
      <c r="AH32" s="24">
        <f t="shared" si="33"/>
        <v>0</v>
      </c>
      <c r="AI32" s="25">
        <f t="shared" si="34"/>
        <v>0</v>
      </c>
      <c r="AJ32" s="28">
        <f t="shared" si="35"/>
        <v>45136</v>
      </c>
      <c r="AK32" s="24">
        <f t="shared" si="36"/>
        <v>0</v>
      </c>
      <c r="AL32" s="25">
        <f t="shared" si="37"/>
        <v>0</v>
      </c>
      <c r="AM32" s="29">
        <f t="shared" si="38"/>
        <v>0</v>
      </c>
      <c r="AN32" s="28">
        <f t="shared" si="39"/>
        <v>45136</v>
      </c>
      <c r="AO32" s="373">
        <f t="shared" si="0"/>
        <v>0</v>
      </c>
      <c r="AP32" s="374">
        <f t="shared" si="1"/>
        <v>0</v>
      </c>
      <c r="AQ32" s="27">
        <f t="shared" si="2"/>
        <v>0</v>
      </c>
      <c r="AR32" s="25">
        <f t="shared" si="3"/>
        <v>0</v>
      </c>
      <c r="AS32" s="25">
        <f t="shared" si="4"/>
        <v>0</v>
      </c>
      <c r="AT32" s="25">
        <f t="shared" si="5"/>
        <v>0</v>
      </c>
      <c r="AU32" s="29">
        <f t="shared" si="85"/>
        <v>0</v>
      </c>
      <c r="AV32" s="27">
        <f t="shared" si="40"/>
        <v>0</v>
      </c>
      <c r="AW32" s="27">
        <f t="shared" si="41"/>
        <v>0</v>
      </c>
      <c r="AX32" s="27">
        <f t="shared" si="42"/>
        <v>0</v>
      </c>
      <c r="AY32" s="27">
        <f t="shared" si="43"/>
        <v>0</v>
      </c>
      <c r="AZ32" s="2" t="str">
        <f t="shared" si="44"/>
        <v/>
      </c>
      <c r="BA32" s="2" t="str">
        <f t="shared" si="45"/>
        <v/>
      </c>
      <c r="BB32" s="2" t="str">
        <f t="shared" si="46"/>
        <v/>
      </c>
      <c r="BC32" s="2" t="str">
        <f t="shared" si="47"/>
        <v/>
      </c>
      <c r="BD32" s="2" t="str">
        <f t="shared" si="86"/>
        <v/>
      </c>
      <c r="BE32" s="2" t="str">
        <f t="shared" si="48"/>
        <v/>
      </c>
      <c r="BF32" s="2" t="str">
        <f t="shared" si="49"/>
        <v/>
      </c>
      <c r="BG32" s="2" t="str">
        <f t="shared" si="50"/>
        <v/>
      </c>
      <c r="BH32" s="2">
        <f t="shared" si="51"/>
        <v>0</v>
      </c>
      <c r="BI32" s="298" t="str">
        <f t="shared" si="87"/>
        <v/>
      </c>
      <c r="BJ32" s="298" t="str">
        <f t="shared" si="52"/>
        <v/>
      </c>
      <c r="BQ32" s="4">
        <f t="shared" si="55"/>
        <v>45136</v>
      </c>
      <c r="BR32" s="112">
        <f t="shared" si="56"/>
        <v>0</v>
      </c>
      <c r="BS32" s="112">
        <f t="shared" si="57"/>
        <v>0</v>
      </c>
      <c r="BT32" s="112">
        <f t="shared" si="58"/>
        <v>0</v>
      </c>
      <c r="BU32" s="112">
        <f t="shared" si="59"/>
        <v>0</v>
      </c>
      <c r="BV32" s="112">
        <f t="shared" si="60"/>
        <v>0</v>
      </c>
      <c r="BX32" s="4"/>
      <c r="BY32" s="4"/>
      <c r="CI32" s="4">
        <f t="shared" si="65"/>
        <v>45136</v>
      </c>
      <c r="CJ32" s="50">
        <f ca="1">IF($BH32=0,IF($CO32="",CJ31+R32,IF('283'!$K$251=1,VLOOKUP($CO32,PerStBal,2)+R32,IF('283'!$K$253=1,(VLOOKUP($CO32,PerPortion,2)*VLOOKUP($CO32,PerStBal,6))+R32,GL!BS32))),0)</f>
        <v>0</v>
      </c>
      <c r="CK32" s="425">
        <f ca="1">IF($BH32=0,IF($CO32="",CK31+T32,IF('283'!$K$251=1,IF(mname2&lt;&gt;"",VLOOKUP($CO32,PerStBal,3)+T32,0),IF('283'!$K$253=1,(VLOOKUP($CO32,PerPortion,3)*VLOOKUP($CO32,PerStBal,6))+T32,GL!BT32))),0)</f>
        <v>0</v>
      </c>
      <c r="CL32" s="425">
        <f ca="1">IF($BH32=0,IF($CO32="",CL31+V32,IF('283'!$K$251=1,IF(mname3&lt;&gt;"",VLOOKUP($CO32,PerStBal,4)+V32,0),IF('283'!$K$253=1,(VLOOKUP($CO32,PerPortion,4)*VLOOKUP($CO32,PerStBal,6))+V32,GL!BU32))),0)</f>
        <v>0</v>
      </c>
      <c r="CM32" s="425">
        <f ca="1">IF($BH32=0,IF($CO32="",CM31+X32,IF('283'!$K$251=1,IF(mname4&lt;&gt;"",VLOOKUP($CO32,PerStBal,5)+X32,0),IF('283'!$K$253=1,(VLOOKUP($CO32,PerPortion,5)*VLOOKUP($CO32,PerStBal,6))+X32,GL!BV32))),0)</f>
        <v>0</v>
      </c>
      <c r="CN32" s="50">
        <f t="shared" ca="1" si="66"/>
        <v>0</v>
      </c>
      <c r="CO32" s="4" t="str">
        <f t="shared" ca="1" si="67"/>
        <v/>
      </c>
      <c r="CP32" s="377">
        <f t="shared" si="7"/>
        <v>0</v>
      </c>
      <c r="DI32" s="4">
        <f t="shared" si="70"/>
        <v>45136</v>
      </c>
      <c r="DJ32" s="112">
        <f t="shared" ca="1" si="71"/>
        <v>0</v>
      </c>
      <c r="DK32" s="112">
        <f t="shared" si="72"/>
        <v>0</v>
      </c>
      <c r="DL32" s="4">
        <f t="shared" si="73"/>
        <v>45136</v>
      </c>
      <c r="DM32" s="112">
        <f t="shared" ca="1" si="74"/>
        <v>0</v>
      </c>
      <c r="DN32" s="112">
        <f t="shared" si="75"/>
        <v>0</v>
      </c>
      <c r="DO32" s="4">
        <f t="shared" si="76"/>
        <v>45136</v>
      </c>
      <c r="DP32" s="112">
        <f t="shared" ca="1" si="77"/>
        <v>0</v>
      </c>
      <c r="DQ32" s="112">
        <f t="shared" si="78"/>
        <v>0</v>
      </c>
      <c r="DR32" s="4">
        <f t="shared" si="79"/>
        <v>45136</v>
      </c>
      <c r="DS32" s="112">
        <f t="shared" ca="1" si="80"/>
        <v>0</v>
      </c>
      <c r="DT32" s="112">
        <f t="shared" si="81"/>
        <v>0</v>
      </c>
      <c r="DU32" s="4">
        <f t="shared" si="82"/>
        <v>45136</v>
      </c>
      <c r="DV32" s="112">
        <f t="shared" si="83"/>
        <v>0</v>
      </c>
      <c r="DW32" s="112">
        <f t="shared" si="84"/>
        <v>0</v>
      </c>
    </row>
    <row r="33" spans="2:127" x14ac:dyDescent="0.25">
      <c r="B33" s="39" t="str">
        <f>IF(LEFT('283'!B140,1)="R","Benefits Paid","")</f>
        <v/>
      </c>
      <c r="C33" s="3" t="str">
        <f>IF(B33&lt;&gt;"",IF('283'!C140&lt;&gt;"",'283'!C140,""),"")</f>
        <v/>
      </c>
      <c r="D33" s="40" t="str">
        <f>IF($B33&lt;&gt;"",IF('283'!D140&lt;&gt;"",'283'!D140,""),"")</f>
        <v/>
      </c>
      <c r="E33" s="40" t="str">
        <f>IF($B33&lt;&gt;"",IF('283'!E140&lt;&gt;"",'283'!E140,""),"")</f>
        <v/>
      </c>
      <c r="F33" s="40" t="str">
        <f>IF($B33&lt;&gt;"",IF('283'!F140&lt;&gt;"",'283'!F140,""),"")</f>
        <v/>
      </c>
      <c r="G33" s="41" t="str">
        <f>IF($B33&lt;&gt;"",IF('283'!G140&lt;&gt;"",'283'!G140,""),"")</f>
        <v/>
      </c>
      <c r="H33" s="23">
        <v>29</v>
      </c>
      <c r="I33" s="42" t="str">
        <f>IF(AND(LEFT('283'!B140,1)&lt;&gt;"R",LEFT('283'!B140,1)&lt;&gt;""),'283'!B140,"")</f>
        <v/>
      </c>
      <c r="J33" s="3" t="str">
        <f>IF(I33&lt;&gt;"",IF('283'!C140&lt;&gt;"",'283'!C140,""),"")</f>
        <v/>
      </c>
      <c r="K33" s="40" t="str">
        <f>IF($I33&lt;&gt;"",IF('283'!D140&lt;&gt;"",IF(LEFT($I33,1)="N",-'283'!D140,'283'!D140),""),"")</f>
        <v/>
      </c>
      <c r="L33" s="40" t="str">
        <f>IF($I33&lt;&gt;"",IF('283'!E140&lt;&gt;"",IF(LEFT($I33,1)="N",-'283'!E140,'283'!E140),""),"")</f>
        <v/>
      </c>
      <c r="M33" s="40" t="str">
        <f>IF($I33&lt;&gt;"",IF('283'!F140&lt;&gt;"",IF(LEFT($I33,1)="N",-'283'!F140,'283'!F140),""),"")</f>
        <v/>
      </c>
      <c r="N33" s="40" t="str">
        <f>IF($I33&lt;&gt;"",IF('283'!G140&lt;&gt;"",IF(LEFT($I33,1)="N",-'283'!G140,'283'!G140),""),"")</f>
        <v/>
      </c>
      <c r="O33" s="43"/>
      <c r="P33" s="38"/>
      <c r="Q33" s="4">
        <f t="shared" si="16"/>
        <v>45137</v>
      </c>
      <c r="R33" s="24">
        <f t="shared" si="17"/>
        <v>0</v>
      </c>
      <c r="S33" s="25">
        <f t="shared" si="18"/>
        <v>0</v>
      </c>
      <c r="T33" s="24">
        <f t="shared" si="19"/>
        <v>0</v>
      </c>
      <c r="U33" s="25">
        <f t="shared" si="20"/>
        <v>0</v>
      </c>
      <c r="V33" s="24">
        <f t="shared" si="21"/>
        <v>0</v>
      </c>
      <c r="W33" s="25">
        <f t="shared" si="22"/>
        <v>0</v>
      </c>
      <c r="X33" s="24">
        <f t="shared" si="23"/>
        <v>0</v>
      </c>
      <c r="Y33" s="26">
        <f t="shared" si="24"/>
        <v>0</v>
      </c>
      <c r="Z33" s="27">
        <f t="shared" si="25"/>
        <v>0</v>
      </c>
      <c r="AA33" s="28">
        <f t="shared" si="26"/>
        <v>45137</v>
      </c>
      <c r="AB33" s="24">
        <f t="shared" si="27"/>
        <v>0</v>
      </c>
      <c r="AC33" s="25">
        <f t="shared" si="28"/>
        <v>0</v>
      </c>
      <c r="AD33" s="28">
        <f t="shared" si="29"/>
        <v>45137</v>
      </c>
      <c r="AE33" s="24">
        <f t="shared" si="30"/>
        <v>0</v>
      </c>
      <c r="AF33" s="25">
        <f t="shared" si="31"/>
        <v>0</v>
      </c>
      <c r="AG33" s="28">
        <f t="shared" si="32"/>
        <v>45137</v>
      </c>
      <c r="AH33" s="24">
        <f t="shared" si="33"/>
        <v>0</v>
      </c>
      <c r="AI33" s="25">
        <f t="shared" si="34"/>
        <v>0</v>
      </c>
      <c r="AJ33" s="28">
        <f t="shared" si="35"/>
        <v>45137</v>
      </c>
      <c r="AK33" s="24">
        <f t="shared" si="36"/>
        <v>0</v>
      </c>
      <c r="AL33" s="25">
        <f t="shared" si="37"/>
        <v>0</v>
      </c>
      <c r="AM33" s="29">
        <f t="shared" si="38"/>
        <v>0</v>
      </c>
      <c r="AN33" s="28">
        <f t="shared" si="39"/>
        <v>45137</v>
      </c>
      <c r="AO33" s="373">
        <f t="shared" si="0"/>
        <v>0</v>
      </c>
      <c r="AP33" s="374">
        <f t="shared" si="1"/>
        <v>0</v>
      </c>
      <c r="AQ33" s="27">
        <f t="shared" si="2"/>
        <v>0</v>
      </c>
      <c r="AR33" s="25">
        <f t="shared" si="3"/>
        <v>0</v>
      </c>
      <c r="AS33" s="25">
        <f t="shared" si="4"/>
        <v>0</v>
      </c>
      <c r="AT33" s="25">
        <f t="shared" si="5"/>
        <v>0</v>
      </c>
      <c r="AU33" s="29">
        <f t="shared" si="85"/>
        <v>0</v>
      </c>
      <c r="AV33" s="27">
        <f t="shared" si="40"/>
        <v>0</v>
      </c>
      <c r="AW33" s="27">
        <f t="shared" si="41"/>
        <v>0</v>
      </c>
      <c r="AX33" s="27">
        <f t="shared" si="42"/>
        <v>0</v>
      </c>
      <c r="AY33" s="27">
        <f t="shared" si="43"/>
        <v>0</v>
      </c>
      <c r="AZ33" s="2" t="str">
        <f t="shared" si="44"/>
        <v/>
      </c>
      <c r="BA33" s="2" t="str">
        <f t="shared" si="45"/>
        <v/>
      </c>
      <c r="BB33" s="2" t="str">
        <f t="shared" si="46"/>
        <v/>
      </c>
      <c r="BC33" s="2" t="str">
        <f t="shared" si="47"/>
        <v/>
      </c>
      <c r="BD33" s="2" t="str">
        <f t="shared" si="86"/>
        <v/>
      </c>
      <c r="BE33" s="2" t="str">
        <f t="shared" si="48"/>
        <v/>
      </c>
      <c r="BF33" s="2" t="str">
        <f t="shared" si="49"/>
        <v/>
      </c>
      <c r="BG33" s="2" t="str">
        <f t="shared" si="50"/>
        <v/>
      </c>
      <c r="BH33" s="2">
        <f t="shared" si="51"/>
        <v>0</v>
      </c>
      <c r="BI33" s="298" t="str">
        <f t="shared" si="87"/>
        <v/>
      </c>
      <c r="BJ33" s="298" t="str">
        <f t="shared" si="52"/>
        <v/>
      </c>
      <c r="BQ33" s="4">
        <f t="shared" si="55"/>
        <v>45137</v>
      </c>
      <c r="BR33" s="112">
        <f t="shared" si="56"/>
        <v>0</v>
      </c>
      <c r="BS33" s="112">
        <f t="shared" si="57"/>
        <v>0</v>
      </c>
      <c r="BT33" s="112">
        <f t="shared" si="58"/>
        <v>0</v>
      </c>
      <c r="BU33" s="112">
        <f t="shared" si="59"/>
        <v>0</v>
      </c>
      <c r="BV33" s="112">
        <f t="shared" si="60"/>
        <v>0</v>
      </c>
      <c r="BX33" s="4"/>
      <c r="BY33" s="4"/>
      <c r="CI33" s="4">
        <f t="shared" si="65"/>
        <v>45137</v>
      </c>
      <c r="CJ33" s="50">
        <f ca="1">IF($BH33=0,IF($CO33="",CJ32+R33,IF('283'!$K$251=1,VLOOKUP($CO33,PerStBal,2)+R33,IF('283'!$K$253=1,(VLOOKUP($CO33,PerPortion,2)*VLOOKUP($CO33,PerStBal,6))+R33,GL!BS33))),0)</f>
        <v>0</v>
      </c>
      <c r="CK33" s="425">
        <f ca="1">IF($BH33=0,IF($CO33="",CK32+T33,IF('283'!$K$251=1,IF(mname2&lt;&gt;"",VLOOKUP($CO33,PerStBal,3)+T33,0),IF('283'!$K$253=1,(VLOOKUP($CO33,PerPortion,3)*VLOOKUP($CO33,PerStBal,6))+T33,GL!BT33))),0)</f>
        <v>0</v>
      </c>
      <c r="CL33" s="425">
        <f ca="1">IF($BH33=0,IF($CO33="",CL32+V33,IF('283'!$K$251=1,IF(mname3&lt;&gt;"",VLOOKUP($CO33,PerStBal,4)+V33,0),IF('283'!$K$253=1,(VLOOKUP($CO33,PerPortion,4)*VLOOKUP($CO33,PerStBal,6))+V33,GL!BU33))),0)</f>
        <v>0</v>
      </c>
      <c r="CM33" s="425">
        <f ca="1">IF($BH33=0,IF($CO33="",CM32+X33,IF('283'!$K$251=1,IF(mname4&lt;&gt;"",VLOOKUP($CO33,PerStBal,5)+X33,0),IF('283'!$K$253=1,(VLOOKUP($CO33,PerPortion,5)*VLOOKUP($CO33,PerStBal,6))+X33,GL!BV33))),0)</f>
        <v>0</v>
      </c>
      <c r="CN33" s="50">
        <f t="shared" ca="1" si="66"/>
        <v>0</v>
      </c>
      <c r="CO33" s="4" t="str">
        <f t="shared" ca="1" si="67"/>
        <v/>
      </c>
      <c r="CP33" s="377">
        <f t="shared" si="7"/>
        <v>0</v>
      </c>
      <c r="DI33" s="4">
        <f t="shared" si="70"/>
        <v>45137</v>
      </c>
      <c r="DJ33" s="112">
        <f t="shared" ca="1" si="71"/>
        <v>0</v>
      </c>
      <c r="DK33" s="112">
        <f t="shared" si="72"/>
        <v>0</v>
      </c>
      <c r="DL33" s="4">
        <f t="shared" si="73"/>
        <v>45137</v>
      </c>
      <c r="DM33" s="112">
        <f t="shared" ca="1" si="74"/>
        <v>0</v>
      </c>
      <c r="DN33" s="112">
        <f t="shared" si="75"/>
        <v>0</v>
      </c>
      <c r="DO33" s="4">
        <f t="shared" si="76"/>
        <v>45137</v>
      </c>
      <c r="DP33" s="112">
        <f t="shared" ca="1" si="77"/>
        <v>0</v>
      </c>
      <c r="DQ33" s="112">
        <f t="shared" si="78"/>
        <v>0</v>
      </c>
      <c r="DR33" s="4">
        <f t="shared" si="79"/>
        <v>45137</v>
      </c>
      <c r="DS33" s="112">
        <f t="shared" ca="1" si="80"/>
        <v>0</v>
      </c>
      <c r="DT33" s="112">
        <f t="shared" si="81"/>
        <v>0</v>
      </c>
      <c r="DU33" s="4">
        <f t="shared" si="82"/>
        <v>45137</v>
      </c>
      <c r="DV33" s="112">
        <f t="shared" si="83"/>
        <v>0</v>
      </c>
      <c r="DW33" s="112">
        <f t="shared" si="84"/>
        <v>0</v>
      </c>
    </row>
    <row r="34" spans="2:127" x14ac:dyDescent="0.25">
      <c r="B34" s="39" t="str">
        <f>IF(LEFT('283'!B141,1)="R","Benefits Paid","")</f>
        <v/>
      </c>
      <c r="C34" s="3" t="str">
        <f>IF(B34&lt;&gt;"",IF('283'!C141&lt;&gt;"",'283'!C141,""),"")</f>
        <v/>
      </c>
      <c r="D34" s="40" t="str">
        <f>IF($B34&lt;&gt;"",IF('283'!D141&lt;&gt;"",'283'!D141,""),"")</f>
        <v/>
      </c>
      <c r="E34" s="40" t="str">
        <f>IF($B34&lt;&gt;"",IF('283'!E141&lt;&gt;"",'283'!E141,""),"")</f>
        <v/>
      </c>
      <c r="F34" s="40" t="str">
        <f>IF($B34&lt;&gt;"",IF('283'!F141&lt;&gt;"",'283'!F141,""),"")</f>
        <v/>
      </c>
      <c r="G34" s="41" t="str">
        <f>IF($B34&lt;&gt;"",IF('283'!G141&lt;&gt;"",'283'!G141,""),"")</f>
        <v/>
      </c>
      <c r="H34" s="23">
        <v>30</v>
      </c>
      <c r="I34" s="42" t="str">
        <f>IF(AND(LEFT('283'!B141,1)&lt;&gt;"R",LEFT('283'!B141,1)&lt;&gt;""),'283'!B141,"")</f>
        <v/>
      </c>
      <c r="J34" s="3" t="str">
        <f>IF(I34&lt;&gt;"",IF('283'!C141&lt;&gt;"",'283'!C141,""),"")</f>
        <v/>
      </c>
      <c r="K34" s="40" t="str">
        <f>IF($I34&lt;&gt;"",IF('283'!D141&lt;&gt;"",IF(LEFT($I34,1)="N",-'283'!D141,'283'!D141),""),"")</f>
        <v/>
      </c>
      <c r="L34" s="40" t="str">
        <f>IF($I34&lt;&gt;"",IF('283'!E141&lt;&gt;"",IF(LEFT($I34,1)="N",-'283'!E141,'283'!E141),""),"")</f>
        <v/>
      </c>
      <c r="M34" s="40" t="str">
        <f>IF($I34&lt;&gt;"",IF('283'!F141&lt;&gt;"",IF(LEFT($I34,1)="N",-'283'!F141,'283'!F141),""),"")</f>
        <v/>
      </c>
      <c r="N34" s="40" t="str">
        <f>IF($I34&lt;&gt;"",IF('283'!G141&lt;&gt;"",IF(LEFT($I34,1)="N",-'283'!G141,'283'!G141),""),"")</f>
        <v/>
      </c>
      <c r="O34" s="43"/>
      <c r="P34" s="38"/>
      <c r="Q34" s="4">
        <f t="shared" si="16"/>
        <v>45138</v>
      </c>
      <c r="R34" s="24">
        <f t="shared" si="17"/>
        <v>0</v>
      </c>
      <c r="S34" s="25">
        <f t="shared" si="18"/>
        <v>0</v>
      </c>
      <c r="T34" s="24">
        <f t="shared" si="19"/>
        <v>0</v>
      </c>
      <c r="U34" s="25">
        <f t="shared" si="20"/>
        <v>0</v>
      </c>
      <c r="V34" s="24">
        <f t="shared" si="21"/>
        <v>0</v>
      </c>
      <c r="W34" s="25">
        <f t="shared" si="22"/>
        <v>0</v>
      </c>
      <c r="X34" s="24">
        <f t="shared" si="23"/>
        <v>0</v>
      </c>
      <c r="Y34" s="26">
        <f t="shared" si="24"/>
        <v>0</v>
      </c>
      <c r="Z34" s="27">
        <f t="shared" si="25"/>
        <v>0</v>
      </c>
      <c r="AA34" s="28">
        <f t="shared" si="26"/>
        <v>45138</v>
      </c>
      <c r="AB34" s="24">
        <f t="shared" si="27"/>
        <v>0</v>
      </c>
      <c r="AC34" s="25">
        <f t="shared" si="28"/>
        <v>0</v>
      </c>
      <c r="AD34" s="28">
        <f t="shared" si="29"/>
        <v>45138</v>
      </c>
      <c r="AE34" s="24">
        <f t="shared" si="30"/>
        <v>0</v>
      </c>
      <c r="AF34" s="25">
        <f t="shared" si="31"/>
        <v>0</v>
      </c>
      <c r="AG34" s="28">
        <f t="shared" si="32"/>
        <v>45138</v>
      </c>
      <c r="AH34" s="24">
        <f t="shared" si="33"/>
        <v>0</v>
      </c>
      <c r="AI34" s="25">
        <f t="shared" si="34"/>
        <v>0</v>
      </c>
      <c r="AJ34" s="28">
        <f t="shared" si="35"/>
        <v>45138</v>
      </c>
      <c r="AK34" s="24">
        <f t="shared" si="36"/>
        <v>0</v>
      </c>
      <c r="AL34" s="25">
        <f t="shared" si="37"/>
        <v>0</v>
      </c>
      <c r="AM34" s="29">
        <f t="shared" si="38"/>
        <v>0</v>
      </c>
      <c r="AN34" s="28">
        <f t="shared" si="39"/>
        <v>45138</v>
      </c>
      <c r="AO34" s="373">
        <f t="shared" si="0"/>
        <v>0</v>
      </c>
      <c r="AP34" s="374">
        <f t="shared" si="1"/>
        <v>0</v>
      </c>
      <c r="AQ34" s="27">
        <f t="shared" si="2"/>
        <v>0</v>
      </c>
      <c r="AR34" s="25">
        <f t="shared" si="3"/>
        <v>0</v>
      </c>
      <c r="AS34" s="25">
        <f t="shared" si="4"/>
        <v>0</v>
      </c>
      <c r="AT34" s="25">
        <f t="shared" si="5"/>
        <v>0</v>
      </c>
      <c r="AU34" s="29">
        <f t="shared" si="85"/>
        <v>0</v>
      </c>
      <c r="AV34" s="27">
        <f t="shared" si="40"/>
        <v>0</v>
      </c>
      <c r="AW34" s="27">
        <f t="shared" si="41"/>
        <v>0</v>
      </c>
      <c r="AX34" s="27">
        <f t="shared" si="42"/>
        <v>0</v>
      </c>
      <c r="AY34" s="27">
        <f t="shared" si="43"/>
        <v>0</v>
      </c>
      <c r="AZ34" s="2" t="str">
        <f t="shared" si="44"/>
        <v/>
      </c>
      <c r="BA34" s="2" t="str">
        <f t="shared" si="45"/>
        <v/>
      </c>
      <c r="BB34" s="2" t="str">
        <f t="shared" si="46"/>
        <v/>
      </c>
      <c r="BC34" s="2" t="str">
        <f t="shared" si="47"/>
        <v/>
      </c>
      <c r="BD34" s="2" t="str">
        <f t="shared" si="86"/>
        <v/>
      </c>
      <c r="BE34" s="2" t="str">
        <f t="shared" si="48"/>
        <v/>
      </c>
      <c r="BF34" s="2" t="str">
        <f t="shared" si="49"/>
        <v/>
      </c>
      <c r="BG34" s="2" t="str">
        <f t="shared" si="50"/>
        <v/>
      </c>
      <c r="BH34" s="2">
        <f t="shared" si="51"/>
        <v>0</v>
      </c>
      <c r="BI34" s="298" t="str">
        <f t="shared" si="87"/>
        <v/>
      </c>
      <c r="BJ34" s="298" t="str">
        <f t="shared" si="52"/>
        <v/>
      </c>
      <c r="BQ34" s="4">
        <f t="shared" si="55"/>
        <v>45138</v>
      </c>
      <c r="BR34" s="112">
        <f t="shared" si="56"/>
        <v>0</v>
      </c>
      <c r="BS34" s="112">
        <f t="shared" si="57"/>
        <v>0</v>
      </c>
      <c r="BT34" s="112">
        <f t="shared" si="58"/>
        <v>0</v>
      </c>
      <c r="BU34" s="112">
        <f t="shared" si="59"/>
        <v>0</v>
      </c>
      <c r="BV34" s="112">
        <f t="shared" si="60"/>
        <v>0</v>
      </c>
      <c r="BX34" s="4"/>
      <c r="BY34" s="4"/>
      <c r="CI34" s="4">
        <f t="shared" si="65"/>
        <v>45138</v>
      </c>
      <c r="CJ34" s="50">
        <f ca="1">IF($BH34=0,IF($CO34="",CJ33+R34,IF('283'!$K$251=1,VLOOKUP($CO34,PerStBal,2)+R34,IF('283'!$K$253=1,(VLOOKUP($CO34,PerPortion,2)*VLOOKUP($CO34,PerStBal,6))+R34,GL!BS34))),0)</f>
        <v>0</v>
      </c>
      <c r="CK34" s="425">
        <f ca="1">IF($BH34=0,IF($CO34="",CK33+T34,IF('283'!$K$251=1,IF(mname2&lt;&gt;"",VLOOKUP($CO34,PerStBal,3)+T34,0),IF('283'!$K$253=1,(VLOOKUP($CO34,PerPortion,3)*VLOOKUP($CO34,PerStBal,6))+T34,GL!BT34))),0)</f>
        <v>0</v>
      </c>
      <c r="CL34" s="425">
        <f ca="1">IF($BH34=0,IF($CO34="",CL33+V34,IF('283'!$K$251=1,IF(mname3&lt;&gt;"",VLOOKUP($CO34,PerStBal,4)+V34,0),IF('283'!$K$253=1,(VLOOKUP($CO34,PerPortion,4)*VLOOKUP($CO34,PerStBal,6))+V34,GL!BU34))),0)</f>
        <v>0</v>
      </c>
      <c r="CM34" s="425">
        <f ca="1">IF($BH34=0,IF($CO34="",CM33+X34,IF('283'!$K$251=1,IF(mname4&lt;&gt;"",VLOOKUP($CO34,PerStBal,5)+X34,0),IF('283'!$K$253=1,(VLOOKUP($CO34,PerPortion,5)*VLOOKUP($CO34,PerStBal,6))+X34,GL!BV34))),0)</f>
        <v>0</v>
      </c>
      <c r="CN34" s="50">
        <f t="shared" ca="1" si="66"/>
        <v>0</v>
      </c>
      <c r="CO34" s="4" t="str">
        <f t="shared" ca="1" si="67"/>
        <v/>
      </c>
      <c r="CP34" s="377">
        <f t="shared" si="7"/>
        <v>0</v>
      </c>
      <c r="DI34" s="4">
        <f t="shared" si="70"/>
        <v>45138</v>
      </c>
      <c r="DJ34" s="112">
        <f t="shared" ca="1" si="71"/>
        <v>0</v>
      </c>
      <c r="DK34" s="112">
        <f t="shared" si="72"/>
        <v>0</v>
      </c>
      <c r="DL34" s="4">
        <f t="shared" si="73"/>
        <v>45138</v>
      </c>
      <c r="DM34" s="112">
        <f t="shared" ca="1" si="74"/>
        <v>0</v>
      </c>
      <c r="DN34" s="112">
        <f t="shared" si="75"/>
        <v>0</v>
      </c>
      <c r="DO34" s="4">
        <f t="shared" si="76"/>
        <v>45138</v>
      </c>
      <c r="DP34" s="112">
        <f t="shared" ca="1" si="77"/>
        <v>0</v>
      </c>
      <c r="DQ34" s="112">
        <f t="shared" si="78"/>
        <v>0</v>
      </c>
      <c r="DR34" s="4">
        <f t="shared" si="79"/>
        <v>45138</v>
      </c>
      <c r="DS34" s="112">
        <f t="shared" ca="1" si="80"/>
        <v>0</v>
      </c>
      <c r="DT34" s="112">
        <f t="shared" si="81"/>
        <v>0</v>
      </c>
      <c r="DU34" s="4">
        <f t="shared" si="82"/>
        <v>45138</v>
      </c>
      <c r="DV34" s="112">
        <f t="shared" si="83"/>
        <v>0</v>
      </c>
      <c r="DW34" s="112">
        <f t="shared" si="84"/>
        <v>0</v>
      </c>
    </row>
    <row r="35" spans="2:127" x14ac:dyDescent="0.25">
      <c r="B35" s="39" t="str">
        <f>IF(LEFT('283'!B142,1)="R","Benefits Paid","")</f>
        <v/>
      </c>
      <c r="C35" s="3" t="str">
        <f>IF(B35&lt;&gt;"",IF('283'!C142&lt;&gt;"",'283'!C142,""),"")</f>
        <v/>
      </c>
      <c r="D35" s="40" t="str">
        <f>IF($B35&lt;&gt;"",IF('283'!D142&lt;&gt;"",'283'!D142,""),"")</f>
        <v/>
      </c>
      <c r="E35" s="40" t="str">
        <f>IF($B35&lt;&gt;"",IF('283'!E142&lt;&gt;"",'283'!E142,""),"")</f>
        <v/>
      </c>
      <c r="F35" s="40" t="str">
        <f>IF($B35&lt;&gt;"",IF('283'!F142&lt;&gt;"",'283'!F142,""),"")</f>
        <v/>
      </c>
      <c r="G35" s="41" t="str">
        <f>IF($B35&lt;&gt;"",IF('283'!G142&lt;&gt;"",'283'!G142,""),"")</f>
        <v/>
      </c>
      <c r="H35" s="23">
        <v>31</v>
      </c>
      <c r="I35" s="42" t="str">
        <f>IF(AND(LEFT('283'!B142,1)&lt;&gt;"R",LEFT('283'!B142,1)&lt;&gt;""),'283'!B142,"")</f>
        <v/>
      </c>
      <c r="J35" s="3" t="str">
        <f>IF(I35&lt;&gt;"",IF('283'!C142&lt;&gt;"",'283'!C142,""),"")</f>
        <v/>
      </c>
      <c r="K35" s="40" t="str">
        <f>IF($I35&lt;&gt;"",IF('283'!D142&lt;&gt;"",IF(LEFT($I35,1)="N",-'283'!D142,'283'!D142),""),"")</f>
        <v/>
      </c>
      <c r="L35" s="40" t="str">
        <f>IF($I35&lt;&gt;"",IF('283'!E142&lt;&gt;"",IF(LEFT($I35,1)="N",-'283'!E142,'283'!E142),""),"")</f>
        <v/>
      </c>
      <c r="M35" s="40" t="str">
        <f>IF($I35&lt;&gt;"",IF('283'!F142&lt;&gt;"",IF(LEFT($I35,1)="N",-'283'!F142,'283'!F142),""),"")</f>
        <v/>
      </c>
      <c r="N35" s="40" t="str">
        <f>IF($I35&lt;&gt;"",IF('283'!G142&lt;&gt;"",IF(LEFT($I35,1)="N",-'283'!G142,'283'!G142),""),"")</f>
        <v/>
      </c>
      <c r="O35" s="43"/>
      <c r="P35" s="38"/>
      <c r="Q35" s="4">
        <f t="shared" si="16"/>
        <v>45139</v>
      </c>
      <c r="R35" s="24">
        <f t="shared" si="17"/>
        <v>0</v>
      </c>
      <c r="S35" s="25">
        <f t="shared" si="18"/>
        <v>0</v>
      </c>
      <c r="T35" s="24">
        <f t="shared" si="19"/>
        <v>0</v>
      </c>
      <c r="U35" s="25">
        <f t="shared" si="20"/>
        <v>0</v>
      </c>
      <c r="V35" s="24">
        <f t="shared" si="21"/>
        <v>0</v>
      </c>
      <c r="W35" s="25">
        <f t="shared" si="22"/>
        <v>0</v>
      </c>
      <c r="X35" s="24">
        <f t="shared" si="23"/>
        <v>0</v>
      </c>
      <c r="Y35" s="26">
        <f t="shared" si="24"/>
        <v>0</v>
      </c>
      <c r="Z35" s="27">
        <f t="shared" si="25"/>
        <v>0</v>
      </c>
      <c r="AA35" s="28">
        <f t="shared" si="26"/>
        <v>45139</v>
      </c>
      <c r="AB35" s="24">
        <f t="shared" si="27"/>
        <v>0</v>
      </c>
      <c r="AC35" s="25">
        <f t="shared" si="28"/>
        <v>0</v>
      </c>
      <c r="AD35" s="28">
        <f t="shared" si="29"/>
        <v>45139</v>
      </c>
      <c r="AE35" s="24">
        <f t="shared" si="30"/>
        <v>0</v>
      </c>
      <c r="AF35" s="25">
        <f t="shared" si="31"/>
        <v>0</v>
      </c>
      <c r="AG35" s="28">
        <f t="shared" si="32"/>
        <v>45139</v>
      </c>
      <c r="AH35" s="24">
        <f t="shared" si="33"/>
        <v>0</v>
      </c>
      <c r="AI35" s="25">
        <f t="shared" si="34"/>
        <v>0</v>
      </c>
      <c r="AJ35" s="28">
        <f t="shared" si="35"/>
        <v>45139</v>
      </c>
      <c r="AK35" s="24">
        <f t="shared" si="36"/>
        <v>0</v>
      </c>
      <c r="AL35" s="25">
        <f t="shared" si="37"/>
        <v>0</v>
      </c>
      <c r="AM35" s="29">
        <f t="shared" si="38"/>
        <v>0</v>
      </c>
      <c r="AN35" s="28">
        <f t="shared" si="39"/>
        <v>45139</v>
      </c>
      <c r="AO35" s="373">
        <f t="shared" si="0"/>
        <v>0</v>
      </c>
      <c r="AP35" s="374">
        <f t="shared" si="1"/>
        <v>0</v>
      </c>
      <c r="AQ35" s="27">
        <f t="shared" si="2"/>
        <v>0</v>
      </c>
      <c r="AR35" s="25">
        <f t="shared" si="3"/>
        <v>0</v>
      </c>
      <c r="AS35" s="25">
        <f t="shared" si="4"/>
        <v>0</v>
      </c>
      <c r="AT35" s="25">
        <f t="shared" si="5"/>
        <v>0</v>
      </c>
      <c r="AU35" s="29">
        <f t="shared" si="85"/>
        <v>0</v>
      </c>
      <c r="AV35" s="27">
        <f t="shared" si="40"/>
        <v>0</v>
      </c>
      <c r="AW35" s="27">
        <f t="shared" si="41"/>
        <v>0</v>
      </c>
      <c r="AX35" s="27">
        <f t="shared" si="42"/>
        <v>0</v>
      </c>
      <c r="AY35" s="27">
        <f t="shared" si="43"/>
        <v>0</v>
      </c>
      <c r="AZ35" s="2" t="str">
        <f t="shared" si="44"/>
        <v/>
      </c>
      <c r="BA35" s="2" t="str">
        <f t="shared" si="45"/>
        <v/>
      </c>
      <c r="BB35" s="2" t="str">
        <f t="shared" si="46"/>
        <v/>
      </c>
      <c r="BC35" s="2" t="str">
        <f t="shared" si="47"/>
        <v/>
      </c>
      <c r="BD35" s="2" t="str">
        <f t="shared" si="86"/>
        <v/>
      </c>
      <c r="BE35" s="2" t="str">
        <f t="shared" si="48"/>
        <v/>
      </c>
      <c r="BF35" s="2" t="str">
        <f t="shared" si="49"/>
        <v/>
      </c>
      <c r="BG35" s="2" t="str">
        <f t="shared" si="50"/>
        <v/>
      </c>
      <c r="BH35" s="2">
        <f t="shared" si="51"/>
        <v>0</v>
      </c>
      <c r="BI35" s="298" t="str">
        <f t="shared" si="87"/>
        <v/>
      </c>
      <c r="BJ35" s="298" t="str">
        <f t="shared" si="52"/>
        <v/>
      </c>
      <c r="BQ35" s="4">
        <f t="shared" si="55"/>
        <v>45139</v>
      </c>
      <c r="BR35" s="112">
        <f t="shared" si="56"/>
        <v>0</v>
      </c>
      <c r="BS35" s="112">
        <f t="shared" si="57"/>
        <v>0</v>
      </c>
      <c r="BT35" s="112">
        <f t="shared" si="58"/>
        <v>0</v>
      </c>
      <c r="BU35" s="112">
        <f t="shared" si="59"/>
        <v>0</v>
      </c>
      <c r="BV35" s="112">
        <f t="shared" si="60"/>
        <v>0</v>
      </c>
      <c r="BX35" s="4"/>
      <c r="BY35" s="4"/>
      <c r="CI35" s="4">
        <f t="shared" si="65"/>
        <v>45139</v>
      </c>
      <c r="CJ35" s="50">
        <f ca="1">IF($BH35=0,IF($CO35="",CJ34+R35,IF('283'!$K$251=1,VLOOKUP($CO35,PerStBal,2)+R35,IF('283'!$K$253=1,(VLOOKUP($CO35,PerPortion,2)*VLOOKUP($CO35,PerStBal,6))+R35,GL!BS35))),0)</f>
        <v>0</v>
      </c>
      <c r="CK35" s="425">
        <f ca="1">IF($BH35=0,IF($CO35="",CK34+T35,IF('283'!$K$251=1,IF(mname2&lt;&gt;"",VLOOKUP($CO35,PerStBal,3)+T35,0),IF('283'!$K$253=1,(VLOOKUP($CO35,PerPortion,3)*VLOOKUP($CO35,PerStBal,6))+T35,GL!BT35))),0)</f>
        <v>0</v>
      </c>
      <c r="CL35" s="425">
        <f ca="1">IF($BH35=0,IF($CO35="",CL34+V35,IF('283'!$K$251=1,IF(mname3&lt;&gt;"",VLOOKUP($CO35,PerStBal,4)+V35,0),IF('283'!$K$253=1,(VLOOKUP($CO35,PerPortion,4)*VLOOKUP($CO35,PerStBal,6))+V35,GL!BU35))),0)</f>
        <v>0</v>
      </c>
      <c r="CM35" s="425">
        <f ca="1">IF($BH35=0,IF($CO35="",CM34+X35,IF('283'!$K$251=1,IF(mname4&lt;&gt;"",VLOOKUP($CO35,PerStBal,5)+X35,0),IF('283'!$K$253=1,(VLOOKUP($CO35,PerPortion,5)*VLOOKUP($CO35,PerStBal,6))+X35,GL!BV35))),0)</f>
        <v>0</v>
      </c>
      <c r="CN35" s="50">
        <f t="shared" ca="1" si="66"/>
        <v>0</v>
      </c>
      <c r="CO35" s="4" t="str">
        <f t="shared" ca="1" si="67"/>
        <v/>
      </c>
      <c r="CP35" s="377">
        <f t="shared" si="7"/>
        <v>0</v>
      </c>
      <c r="DI35" s="4">
        <f t="shared" si="70"/>
        <v>45139</v>
      </c>
      <c r="DJ35" s="112">
        <f t="shared" ca="1" si="71"/>
        <v>0</v>
      </c>
      <c r="DK35" s="112">
        <f t="shared" si="72"/>
        <v>0</v>
      </c>
      <c r="DL35" s="4">
        <f t="shared" si="73"/>
        <v>45139</v>
      </c>
      <c r="DM35" s="112">
        <f t="shared" ca="1" si="74"/>
        <v>0</v>
      </c>
      <c r="DN35" s="112">
        <f t="shared" si="75"/>
        <v>0</v>
      </c>
      <c r="DO35" s="4">
        <f t="shared" si="76"/>
        <v>45139</v>
      </c>
      <c r="DP35" s="112">
        <f t="shared" ca="1" si="77"/>
        <v>0</v>
      </c>
      <c r="DQ35" s="112">
        <f t="shared" si="78"/>
        <v>0</v>
      </c>
      <c r="DR35" s="4">
        <f t="shared" si="79"/>
        <v>45139</v>
      </c>
      <c r="DS35" s="112">
        <f t="shared" ca="1" si="80"/>
        <v>0</v>
      </c>
      <c r="DT35" s="112">
        <f t="shared" si="81"/>
        <v>0</v>
      </c>
      <c r="DU35" s="4">
        <f t="shared" si="82"/>
        <v>45139</v>
      </c>
      <c r="DV35" s="112">
        <f t="shared" si="83"/>
        <v>0</v>
      </c>
      <c r="DW35" s="112">
        <f t="shared" si="84"/>
        <v>0</v>
      </c>
    </row>
    <row r="36" spans="2:127" x14ac:dyDescent="0.25">
      <c r="B36" s="39" t="str">
        <f>IF(LEFT('283'!B143,1)="R","Benefits Paid","")</f>
        <v/>
      </c>
      <c r="C36" s="3" t="str">
        <f>IF(B36&lt;&gt;"",IF('283'!C143&lt;&gt;"",'283'!C143,""),"")</f>
        <v/>
      </c>
      <c r="D36" s="40" t="str">
        <f>IF($B36&lt;&gt;"",IF('283'!D143&lt;&gt;"",'283'!D143,""),"")</f>
        <v/>
      </c>
      <c r="E36" s="40" t="str">
        <f>IF($B36&lt;&gt;"",IF('283'!E143&lt;&gt;"",'283'!E143,""),"")</f>
        <v/>
      </c>
      <c r="F36" s="40" t="str">
        <f>IF($B36&lt;&gt;"",IF('283'!F143&lt;&gt;"",'283'!F143,""),"")</f>
        <v/>
      </c>
      <c r="G36" s="41" t="str">
        <f>IF($B36&lt;&gt;"",IF('283'!G143&lt;&gt;"",'283'!G143,""),"")</f>
        <v/>
      </c>
      <c r="H36" s="23">
        <v>32</v>
      </c>
      <c r="I36" s="42" t="str">
        <f>IF(AND(LEFT('283'!B143,1)&lt;&gt;"R",LEFT('283'!B143,1)&lt;&gt;""),'283'!B143,"")</f>
        <v/>
      </c>
      <c r="J36" s="3" t="str">
        <f>IF(I36&lt;&gt;"",IF('283'!C143&lt;&gt;"",'283'!C143,""),"")</f>
        <v/>
      </c>
      <c r="K36" s="40" t="str">
        <f>IF($I36&lt;&gt;"",IF('283'!D143&lt;&gt;"",IF(LEFT($I36,1)="N",-'283'!D143,'283'!D143),""),"")</f>
        <v/>
      </c>
      <c r="L36" s="40" t="str">
        <f>IF($I36&lt;&gt;"",IF('283'!E143&lt;&gt;"",IF(LEFT($I36,1)="N",-'283'!E143,'283'!E143),""),"")</f>
        <v/>
      </c>
      <c r="M36" s="40" t="str">
        <f>IF($I36&lt;&gt;"",IF('283'!F143&lt;&gt;"",IF(LEFT($I36,1)="N",-'283'!F143,'283'!F143),""),"")</f>
        <v/>
      </c>
      <c r="N36" s="40" t="str">
        <f>IF($I36&lt;&gt;"",IF('283'!G143&lt;&gt;"",IF(LEFT($I36,1)="N",-'283'!G143,'283'!G143),""),"")</f>
        <v/>
      </c>
      <c r="O36" s="43"/>
      <c r="P36" s="38"/>
      <c r="Q36" s="4">
        <f t="shared" si="16"/>
        <v>45140</v>
      </c>
      <c r="R36" s="24">
        <f t="shared" si="17"/>
        <v>0</v>
      </c>
      <c r="S36" s="25">
        <f t="shared" si="18"/>
        <v>0</v>
      </c>
      <c r="T36" s="24">
        <f t="shared" si="19"/>
        <v>0</v>
      </c>
      <c r="U36" s="25">
        <f t="shared" si="20"/>
        <v>0</v>
      </c>
      <c r="V36" s="24">
        <f t="shared" si="21"/>
        <v>0</v>
      </c>
      <c r="W36" s="25">
        <f t="shared" si="22"/>
        <v>0</v>
      </c>
      <c r="X36" s="24">
        <f t="shared" si="23"/>
        <v>0</v>
      </c>
      <c r="Y36" s="26">
        <f t="shared" si="24"/>
        <v>0</v>
      </c>
      <c r="Z36" s="27">
        <f t="shared" si="25"/>
        <v>0</v>
      </c>
      <c r="AA36" s="28">
        <f t="shared" si="26"/>
        <v>45140</v>
      </c>
      <c r="AB36" s="24">
        <f t="shared" si="27"/>
        <v>0</v>
      </c>
      <c r="AC36" s="25">
        <f t="shared" si="28"/>
        <v>0</v>
      </c>
      <c r="AD36" s="28">
        <f t="shared" si="29"/>
        <v>45140</v>
      </c>
      <c r="AE36" s="24">
        <f t="shared" si="30"/>
        <v>0</v>
      </c>
      <c r="AF36" s="25">
        <f t="shared" si="31"/>
        <v>0</v>
      </c>
      <c r="AG36" s="28">
        <f t="shared" si="32"/>
        <v>45140</v>
      </c>
      <c r="AH36" s="24">
        <f t="shared" si="33"/>
        <v>0</v>
      </c>
      <c r="AI36" s="25">
        <f t="shared" si="34"/>
        <v>0</v>
      </c>
      <c r="AJ36" s="28">
        <f t="shared" si="35"/>
        <v>45140</v>
      </c>
      <c r="AK36" s="24">
        <f t="shared" si="36"/>
        <v>0</v>
      </c>
      <c r="AL36" s="25">
        <f t="shared" si="37"/>
        <v>0</v>
      </c>
      <c r="AM36" s="29">
        <f t="shared" si="38"/>
        <v>0</v>
      </c>
      <c r="AN36" s="28">
        <f t="shared" si="39"/>
        <v>45140</v>
      </c>
      <c r="AO36" s="373">
        <f t="shared" si="0"/>
        <v>0</v>
      </c>
      <c r="AP36" s="374">
        <f t="shared" si="1"/>
        <v>0</v>
      </c>
      <c r="AQ36" s="27">
        <f t="shared" si="2"/>
        <v>0</v>
      </c>
      <c r="AR36" s="25">
        <f t="shared" si="3"/>
        <v>0</v>
      </c>
      <c r="AS36" s="25">
        <f t="shared" si="4"/>
        <v>0</v>
      </c>
      <c r="AT36" s="25">
        <f t="shared" si="5"/>
        <v>0</v>
      </c>
      <c r="AU36" s="29">
        <f t="shared" si="85"/>
        <v>0</v>
      </c>
      <c r="AV36" s="27">
        <f t="shared" si="40"/>
        <v>0</v>
      </c>
      <c r="AW36" s="27">
        <f t="shared" si="41"/>
        <v>0</v>
      </c>
      <c r="AX36" s="27">
        <f t="shared" si="42"/>
        <v>0</v>
      </c>
      <c r="AY36" s="27">
        <f t="shared" si="43"/>
        <v>0</v>
      </c>
      <c r="AZ36" s="2" t="str">
        <f t="shared" si="44"/>
        <v/>
      </c>
      <c r="BA36" s="2" t="str">
        <f t="shared" si="45"/>
        <v/>
      </c>
      <c r="BB36" s="2" t="str">
        <f t="shared" si="46"/>
        <v/>
      </c>
      <c r="BC36" s="2" t="str">
        <f t="shared" si="47"/>
        <v/>
      </c>
      <c r="BD36" s="2" t="str">
        <f t="shared" si="86"/>
        <v/>
      </c>
      <c r="BE36" s="2" t="str">
        <f t="shared" si="48"/>
        <v/>
      </c>
      <c r="BF36" s="2" t="str">
        <f t="shared" si="49"/>
        <v/>
      </c>
      <c r="BG36" s="2" t="str">
        <f t="shared" si="50"/>
        <v/>
      </c>
      <c r="BH36" s="2">
        <f t="shared" si="51"/>
        <v>0</v>
      </c>
      <c r="BI36" s="298" t="str">
        <f t="shared" si="87"/>
        <v/>
      </c>
      <c r="BJ36" s="298" t="str">
        <f t="shared" si="52"/>
        <v/>
      </c>
      <c r="BQ36" s="4">
        <f t="shared" si="55"/>
        <v>45140</v>
      </c>
      <c r="BR36" s="112">
        <f t="shared" si="56"/>
        <v>0</v>
      </c>
      <c r="BS36" s="112">
        <f t="shared" si="57"/>
        <v>0</v>
      </c>
      <c r="BT36" s="112">
        <f t="shared" si="58"/>
        <v>0</v>
      </c>
      <c r="BU36" s="112">
        <f t="shared" si="59"/>
        <v>0</v>
      </c>
      <c r="BV36" s="112">
        <f t="shared" si="60"/>
        <v>0</v>
      </c>
      <c r="BX36" s="4"/>
      <c r="BY36" s="4"/>
      <c r="CI36" s="4">
        <f t="shared" si="65"/>
        <v>45140</v>
      </c>
      <c r="CJ36" s="50">
        <f ca="1">IF($BH36=0,IF($CO36="",CJ35+R36,IF('283'!$K$251=1,VLOOKUP($CO36,PerStBal,2)+R36,IF('283'!$K$253=1,(VLOOKUP($CO36,PerPortion,2)*VLOOKUP($CO36,PerStBal,6))+R36,GL!BS36))),0)</f>
        <v>0</v>
      </c>
      <c r="CK36" s="425">
        <f ca="1">IF($BH36=0,IF($CO36="",CK35+T36,IF('283'!$K$251=1,IF(mname2&lt;&gt;"",VLOOKUP($CO36,PerStBal,3)+T36,0),IF('283'!$K$253=1,(VLOOKUP($CO36,PerPortion,3)*VLOOKUP($CO36,PerStBal,6))+T36,GL!BT36))),0)</f>
        <v>0</v>
      </c>
      <c r="CL36" s="425">
        <f ca="1">IF($BH36=0,IF($CO36="",CL35+V36,IF('283'!$K$251=1,IF(mname3&lt;&gt;"",VLOOKUP($CO36,PerStBal,4)+V36,0),IF('283'!$K$253=1,(VLOOKUP($CO36,PerPortion,4)*VLOOKUP($CO36,PerStBal,6))+V36,GL!BU36))),0)</f>
        <v>0</v>
      </c>
      <c r="CM36" s="425">
        <f ca="1">IF($BH36=0,IF($CO36="",CM35+X36,IF('283'!$K$251=1,IF(mname4&lt;&gt;"",VLOOKUP($CO36,PerStBal,5)+X36,0),IF('283'!$K$253=1,(VLOOKUP($CO36,PerPortion,5)*VLOOKUP($CO36,PerStBal,6))+X36,GL!BV36))),0)</f>
        <v>0</v>
      </c>
      <c r="CN36" s="50">
        <f t="shared" ca="1" si="66"/>
        <v>0</v>
      </c>
      <c r="CO36" s="4" t="str">
        <f t="shared" ca="1" si="67"/>
        <v/>
      </c>
      <c r="CP36" s="377">
        <f t="shared" si="7"/>
        <v>0</v>
      </c>
      <c r="DI36" s="4">
        <f t="shared" si="70"/>
        <v>45140</v>
      </c>
      <c r="DJ36" s="112">
        <f t="shared" ca="1" si="71"/>
        <v>0</v>
      </c>
      <c r="DK36" s="112">
        <f t="shared" si="72"/>
        <v>0</v>
      </c>
      <c r="DL36" s="4">
        <f t="shared" si="73"/>
        <v>45140</v>
      </c>
      <c r="DM36" s="112">
        <f t="shared" ca="1" si="74"/>
        <v>0</v>
      </c>
      <c r="DN36" s="112">
        <f t="shared" si="75"/>
        <v>0</v>
      </c>
      <c r="DO36" s="4">
        <f t="shared" si="76"/>
        <v>45140</v>
      </c>
      <c r="DP36" s="112">
        <f t="shared" ca="1" si="77"/>
        <v>0</v>
      </c>
      <c r="DQ36" s="112">
        <f t="shared" si="78"/>
        <v>0</v>
      </c>
      <c r="DR36" s="4">
        <f t="shared" si="79"/>
        <v>45140</v>
      </c>
      <c r="DS36" s="112">
        <f t="shared" ca="1" si="80"/>
        <v>0</v>
      </c>
      <c r="DT36" s="112">
        <f t="shared" si="81"/>
        <v>0</v>
      </c>
      <c r="DU36" s="4">
        <f t="shared" si="82"/>
        <v>45140</v>
      </c>
      <c r="DV36" s="112">
        <f t="shared" si="83"/>
        <v>0</v>
      </c>
      <c r="DW36" s="112">
        <f t="shared" si="84"/>
        <v>0</v>
      </c>
    </row>
    <row r="37" spans="2:127" x14ac:dyDescent="0.25">
      <c r="B37" s="39" t="str">
        <f>IF(LEFT('283'!B144,1)="R","Benefits Paid","")</f>
        <v/>
      </c>
      <c r="C37" s="3" t="str">
        <f>IF(B37&lt;&gt;"",IF('283'!C144&lt;&gt;"",'283'!C144,""),"")</f>
        <v/>
      </c>
      <c r="D37" s="40" t="str">
        <f>IF($B37&lt;&gt;"",IF('283'!D144&lt;&gt;"",'283'!D144,""),"")</f>
        <v/>
      </c>
      <c r="E37" s="40" t="str">
        <f>IF($B37&lt;&gt;"",IF('283'!E144&lt;&gt;"",'283'!E144,""),"")</f>
        <v/>
      </c>
      <c r="F37" s="40" t="str">
        <f>IF($B37&lt;&gt;"",IF('283'!F144&lt;&gt;"",'283'!F144,""),"")</f>
        <v/>
      </c>
      <c r="G37" s="41" t="str">
        <f>IF($B37&lt;&gt;"",IF('283'!G144&lt;&gt;"",'283'!G144,""),"")</f>
        <v/>
      </c>
      <c r="H37" s="23">
        <v>33</v>
      </c>
      <c r="I37" s="42" t="str">
        <f>IF(AND(LEFT('283'!B144,1)&lt;&gt;"R",LEFT('283'!B144,1)&lt;&gt;""),'283'!B144,"")</f>
        <v/>
      </c>
      <c r="J37" s="3" t="str">
        <f>IF(I37&lt;&gt;"",IF('283'!C144&lt;&gt;"",'283'!C144,""),"")</f>
        <v/>
      </c>
      <c r="K37" s="40" t="str">
        <f>IF($I37&lt;&gt;"",IF('283'!D144&lt;&gt;"",IF(LEFT($I37,1)="N",-'283'!D144,'283'!D144),""),"")</f>
        <v/>
      </c>
      <c r="L37" s="40" t="str">
        <f>IF($I37&lt;&gt;"",IF('283'!E144&lt;&gt;"",IF(LEFT($I37,1)="N",-'283'!E144,'283'!E144),""),"")</f>
        <v/>
      </c>
      <c r="M37" s="40" t="str">
        <f>IF($I37&lt;&gt;"",IF('283'!F144&lt;&gt;"",IF(LEFT($I37,1)="N",-'283'!F144,'283'!F144),""),"")</f>
        <v/>
      </c>
      <c r="N37" s="40" t="str">
        <f>IF($I37&lt;&gt;"",IF('283'!G144&lt;&gt;"",IF(LEFT($I37,1)="N",-'283'!G144,'283'!G144),""),"")</f>
        <v/>
      </c>
      <c r="O37" s="43"/>
      <c r="P37" s="38"/>
      <c r="Q37" s="4">
        <f t="shared" si="16"/>
        <v>45141</v>
      </c>
      <c r="R37" s="24">
        <f t="shared" si="17"/>
        <v>0</v>
      </c>
      <c r="S37" s="25">
        <f t="shared" si="18"/>
        <v>0</v>
      </c>
      <c r="T37" s="24">
        <f t="shared" si="19"/>
        <v>0</v>
      </c>
      <c r="U37" s="25">
        <f t="shared" si="20"/>
        <v>0</v>
      </c>
      <c r="V37" s="24">
        <f t="shared" si="21"/>
        <v>0</v>
      </c>
      <c r="W37" s="25">
        <f t="shared" si="22"/>
        <v>0</v>
      </c>
      <c r="X37" s="24">
        <f t="shared" si="23"/>
        <v>0</v>
      </c>
      <c r="Y37" s="26">
        <f t="shared" si="24"/>
        <v>0</v>
      </c>
      <c r="Z37" s="27">
        <f t="shared" si="25"/>
        <v>0</v>
      </c>
      <c r="AA37" s="28">
        <f t="shared" si="26"/>
        <v>45141</v>
      </c>
      <c r="AB37" s="24">
        <f t="shared" si="27"/>
        <v>0</v>
      </c>
      <c r="AC37" s="25">
        <f t="shared" si="28"/>
        <v>0</v>
      </c>
      <c r="AD37" s="28">
        <f t="shared" si="29"/>
        <v>45141</v>
      </c>
      <c r="AE37" s="24">
        <f t="shared" si="30"/>
        <v>0</v>
      </c>
      <c r="AF37" s="25">
        <f t="shared" si="31"/>
        <v>0</v>
      </c>
      <c r="AG37" s="28">
        <f t="shared" si="32"/>
        <v>45141</v>
      </c>
      <c r="AH37" s="24">
        <f t="shared" si="33"/>
        <v>0</v>
      </c>
      <c r="AI37" s="25">
        <f t="shared" si="34"/>
        <v>0</v>
      </c>
      <c r="AJ37" s="28">
        <f t="shared" si="35"/>
        <v>45141</v>
      </c>
      <c r="AK37" s="24">
        <f t="shared" si="36"/>
        <v>0</v>
      </c>
      <c r="AL37" s="25">
        <f t="shared" si="37"/>
        <v>0</v>
      </c>
      <c r="AM37" s="29">
        <f t="shared" si="38"/>
        <v>0</v>
      </c>
      <c r="AN37" s="28">
        <f t="shared" si="39"/>
        <v>45141</v>
      </c>
      <c r="AO37" s="373">
        <f t="shared" si="0"/>
        <v>0</v>
      </c>
      <c r="AP37" s="374">
        <f t="shared" si="1"/>
        <v>0</v>
      </c>
      <c r="AQ37" s="27">
        <f t="shared" si="2"/>
        <v>0</v>
      </c>
      <c r="AR37" s="25">
        <f t="shared" si="3"/>
        <v>0</v>
      </c>
      <c r="AS37" s="25">
        <f t="shared" si="4"/>
        <v>0</v>
      </c>
      <c r="AT37" s="25">
        <f t="shared" si="5"/>
        <v>0</v>
      </c>
      <c r="AU37" s="29">
        <f t="shared" si="85"/>
        <v>0</v>
      </c>
      <c r="AV37" s="27">
        <f t="shared" si="40"/>
        <v>0</v>
      </c>
      <c r="AW37" s="27">
        <f t="shared" si="41"/>
        <v>0</v>
      </c>
      <c r="AX37" s="27">
        <f t="shared" si="42"/>
        <v>0</v>
      </c>
      <c r="AY37" s="27">
        <f t="shared" si="43"/>
        <v>0</v>
      </c>
      <c r="AZ37" s="2" t="str">
        <f t="shared" ref="AZ37:AZ53" si="93">IF(AND($B37&lt;&gt;"",$C37=""),D37,"")</f>
        <v/>
      </c>
      <c r="BA37" s="2" t="str">
        <f t="shared" ref="BA37:BA53" si="94">IF(AND($B37&lt;&gt;"",$C37=""),E37,"")</f>
        <v/>
      </c>
      <c r="BB37" s="2" t="str">
        <f t="shared" ref="BB37:BB53" si="95">IF(AND($B37&lt;&gt;"",$C37=""),F37,"")</f>
        <v/>
      </c>
      <c r="BC37" s="2" t="str">
        <f t="shared" ref="BC37:BC53" si="96">IF(AND($B37&lt;&gt;"",$C37=""),G37,"")</f>
        <v/>
      </c>
      <c r="BD37" s="2" t="str">
        <f t="shared" ref="BD37:BD53" si="97">IF(AND($I37&lt;&gt;"",$J37=""),K37,"")</f>
        <v/>
      </c>
      <c r="BE37" s="2" t="str">
        <f t="shared" ref="BE37:BE53" si="98">IF(AND($I37&lt;&gt;"",$J37=""),L37,"")</f>
        <v/>
      </c>
      <c r="BF37" s="2" t="str">
        <f t="shared" ref="BF37:BF53" si="99">IF(AND($I37&lt;&gt;"",$J37=""),M37,"")</f>
        <v/>
      </c>
      <c r="BG37" s="2" t="str">
        <f t="shared" ref="BG37:BG53" si="100">IF(AND($I37&lt;&gt;"",$J37=""),N37,"")</f>
        <v/>
      </c>
      <c r="BH37" s="2">
        <f t="shared" si="51"/>
        <v>0</v>
      </c>
      <c r="BI37" s="298" t="str">
        <f t="shared" si="87"/>
        <v/>
      </c>
      <c r="BJ37" s="298" t="str">
        <f t="shared" si="52"/>
        <v/>
      </c>
      <c r="BQ37" s="4">
        <f t="shared" si="55"/>
        <v>45141</v>
      </c>
      <c r="BR37" s="112">
        <f t="shared" si="56"/>
        <v>0</v>
      </c>
      <c r="BS37" s="112">
        <f t="shared" si="57"/>
        <v>0</v>
      </c>
      <c r="BT37" s="112">
        <f t="shared" si="58"/>
        <v>0</v>
      </c>
      <c r="BU37" s="112">
        <f t="shared" si="59"/>
        <v>0</v>
      </c>
      <c r="BV37" s="112">
        <f t="shared" si="60"/>
        <v>0</v>
      </c>
      <c r="BX37" s="4"/>
      <c r="BY37" s="4"/>
      <c r="CI37" s="4">
        <f t="shared" si="65"/>
        <v>45141</v>
      </c>
      <c r="CJ37" s="50">
        <f ca="1">IF($BH37=0,IF($CO37="",CJ36+R37,IF('283'!$K$251=1,VLOOKUP($CO37,PerStBal,2)+R37,IF('283'!$K$253=1,(VLOOKUP($CO37,PerPortion,2)*VLOOKUP($CO37,PerStBal,6))+R37,GL!BS37))),0)</f>
        <v>0</v>
      </c>
      <c r="CK37" s="425">
        <f ca="1">IF($BH37=0,IF($CO37="",CK36+T37,IF('283'!$K$251=1,IF(mname2&lt;&gt;"",VLOOKUP($CO37,PerStBal,3)+T37,0),IF('283'!$K$253=1,(VLOOKUP($CO37,PerPortion,3)*VLOOKUP($CO37,PerStBal,6))+T37,GL!BT37))),0)</f>
        <v>0</v>
      </c>
      <c r="CL37" s="425">
        <f ca="1">IF($BH37=0,IF($CO37="",CL36+V37,IF('283'!$K$251=1,IF(mname3&lt;&gt;"",VLOOKUP($CO37,PerStBal,4)+V37,0),IF('283'!$K$253=1,(VLOOKUP($CO37,PerPortion,4)*VLOOKUP($CO37,PerStBal,6))+V37,GL!BU37))),0)</f>
        <v>0</v>
      </c>
      <c r="CM37" s="425">
        <f ca="1">IF($BH37=0,IF($CO37="",CM36+X37,IF('283'!$K$251=1,IF(mname4&lt;&gt;"",VLOOKUP($CO37,PerStBal,5)+X37,0),IF('283'!$K$253=1,(VLOOKUP($CO37,PerPortion,5)*VLOOKUP($CO37,PerStBal,6))+X37,GL!BV37))),0)</f>
        <v>0</v>
      </c>
      <c r="CN37" s="50">
        <f t="shared" ca="1" si="66"/>
        <v>0</v>
      </c>
      <c r="CO37" s="4" t="str">
        <f t="shared" ca="1" si="67"/>
        <v/>
      </c>
      <c r="CP37" s="377">
        <f t="shared" si="7"/>
        <v>0</v>
      </c>
      <c r="DI37" s="4">
        <f t="shared" si="70"/>
        <v>45141</v>
      </c>
      <c r="DJ37" s="112">
        <f t="shared" ca="1" si="71"/>
        <v>0</v>
      </c>
      <c r="DK37" s="112">
        <f t="shared" si="72"/>
        <v>0</v>
      </c>
      <c r="DL37" s="4">
        <f t="shared" si="73"/>
        <v>45141</v>
      </c>
      <c r="DM37" s="112">
        <f t="shared" ca="1" si="74"/>
        <v>0</v>
      </c>
      <c r="DN37" s="112">
        <f t="shared" si="75"/>
        <v>0</v>
      </c>
      <c r="DO37" s="4">
        <f t="shared" si="76"/>
        <v>45141</v>
      </c>
      <c r="DP37" s="112">
        <f t="shared" ca="1" si="77"/>
        <v>0</v>
      </c>
      <c r="DQ37" s="112">
        <f t="shared" si="78"/>
        <v>0</v>
      </c>
      <c r="DR37" s="4">
        <f t="shared" si="79"/>
        <v>45141</v>
      </c>
      <c r="DS37" s="112">
        <f t="shared" ca="1" si="80"/>
        <v>0</v>
      </c>
      <c r="DT37" s="112">
        <f t="shared" si="81"/>
        <v>0</v>
      </c>
      <c r="DU37" s="4">
        <f t="shared" si="82"/>
        <v>45141</v>
      </c>
      <c r="DV37" s="112">
        <f t="shared" si="83"/>
        <v>0</v>
      </c>
      <c r="DW37" s="112">
        <f t="shared" si="84"/>
        <v>0</v>
      </c>
    </row>
    <row r="38" spans="2:127" x14ac:dyDescent="0.25">
      <c r="B38" s="39" t="str">
        <f>IF(LEFT('283'!B145,1)="R","Benefits Paid","")</f>
        <v/>
      </c>
      <c r="C38" s="3" t="str">
        <f>IF(B38&lt;&gt;"",IF('283'!C145&lt;&gt;"",'283'!C145,""),"")</f>
        <v/>
      </c>
      <c r="D38" s="40" t="str">
        <f>IF($B38&lt;&gt;"",IF('283'!D145&lt;&gt;"",'283'!D145,""),"")</f>
        <v/>
      </c>
      <c r="E38" s="40" t="str">
        <f>IF($B38&lt;&gt;"",IF('283'!E145&lt;&gt;"",'283'!E145,""),"")</f>
        <v/>
      </c>
      <c r="F38" s="40" t="str">
        <f>IF($B38&lt;&gt;"",IF('283'!F145&lt;&gt;"",'283'!F145,""),"")</f>
        <v/>
      </c>
      <c r="G38" s="41" t="str">
        <f>IF($B38&lt;&gt;"",IF('283'!G145&lt;&gt;"",'283'!G145,""),"")</f>
        <v/>
      </c>
      <c r="H38" s="23">
        <v>34</v>
      </c>
      <c r="I38" s="42" t="str">
        <f>IF(AND(LEFT('283'!B145,1)&lt;&gt;"R",LEFT('283'!B145,1)&lt;&gt;""),'283'!B145,"")</f>
        <v/>
      </c>
      <c r="J38" s="3" t="str">
        <f>IF(I38&lt;&gt;"",IF('283'!C145&lt;&gt;"",'283'!C145,""),"")</f>
        <v/>
      </c>
      <c r="K38" s="40" t="str">
        <f>IF($I38&lt;&gt;"",IF('283'!D145&lt;&gt;"",IF(LEFT($I38,1)="N",-'283'!D145,'283'!D145),""),"")</f>
        <v/>
      </c>
      <c r="L38" s="40" t="str">
        <f>IF($I38&lt;&gt;"",IF('283'!E145&lt;&gt;"",IF(LEFT($I38,1)="N",-'283'!E145,'283'!E145),""),"")</f>
        <v/>
      </c>
      <c r="M38" s="40" t="str">
        <f>IF($I38&lt;&gt;"",IF('283'!F145&lt;&gt;"",IF(LEFT($I38,1)="N",-'283'!F145,'283'!F145),""),"")</f>
        <v/>
      </c>
      <c r="N38" s="40" t="str">
        <f>IF($I38&lt;&gt;"",IF('283'!G145&lt;&gt;"",IF(LEFT($I38,1)="N",-'283'!G145,'283'!G145),""),"")</f>
        <v/>
      </c>
      <c r="O38" s="43"/>
      <c r="P38" s="38"/>
      <c r="Q38" s="4">
        <f t="shared" si="16"/>
        <v>45142</v>
      </c>
      <c r="R38" s="24">
        <f t="shared" si="17"/>
        <v>0</v>
      </c>
      <c r="S38" s="25">
        <f t="shared" si="18"/>
        <v>0</v>
      </c>
      <c r="T38" s="24">
        <f t="shared" si="19"/>
        <v>0</v>
      </c>
      <c r="U38" s="25">
        <f t="shared" si="20"/>
        <v>0</v>
      </c>
      <c r="V38" s="24">
        <f t="shared" si="21"/>
        <v>0</v>
      </c>
      <c r="W38" s="25">
        <f t="shared" si="22"/>
        <v>0</v>
      </c>
      <c r="X38" s="24">
        <f t="shared" si="23"/>
        <v>0</v>
      </c>
      <c r="Y38" s="26">
        <f t="shared" si="24"/>
        <v>0</v>
      </c>
      <c r="Z38" s="27">
        <f t="shared" si="25"/>
        <v>0</v>
      </c>
      <c r="AA38" s="28">
        <f t="shared" si="26"/>
        <v>45142</v>
      </c>
      <c r="AB38" s="24">
        <f t="shared" si="27"/>
        <v>0</v>
      </c>
      <c r="AC38" s="25">
        <f t="shared" si="28"/>
        <v>0</v>
      </c>
      <c r="AD38" s="28">
        <f t="shared" si="29"/>
        <v>45142</v>
      </c>
      <c r="AE38" s="24">
        <f t="shared" si="30"/>
        <v>0</v>
      </c>
      <c r="AF38" s="25">
        <f t="shared" si="31"/>
        <v>0</v>
      </c>
      <c r="AG38" s="28">
        <f t="shared" si="32"/>
        <v>45142</v>
      </c>
      <c r="AH38" s="24">
        <f t="shared" si="33"/>
        <v>0</v>
      </c>
      <c r="AI38" s="25">
        <f t="shared" si="34"/>
        <v>0</v>
      </c>
      <c r="AJ38" s="28">
        <f t="shared" si="35"/>
        <v>45142</v>
      </c>
      <c r="AK38" s="24">
        <f t="shared" si="36"/>
        <v>0</v>
      </c>
      <c r="AL38" s="25">
        <f t="shared" si="37"/>
        <v>0</v>
      </c>
      <c r="AM38" s="29">
        <f t="shared" si="38"/>
        <v>0</v>
      </c>
      <c r="AN38" s="28">
        <f t="shared" si="39"/>
        <v>45142</v>
      </c>
      <c r="AO38" s="373">
        <f t="shared" si="0"/>
        <v>0</v>
      </c>
      <c r="AP38" s="374">
        <f t="shared" si="1"/>
        <v>0</v>
      </c>
      <c r="AQ38" s="27">
        <f t="shared" si="2"/>
        <v>0</v>
      </c>
      <c r="AR38" s="25">
        <f t="shared" si="3"/>
        <v>0</v>
      </c>
      <c r="AS38" s="25">
        <f t="shared" si="4"/>
        <v>0</v>
      </c>
      <c r="AT38" s="25">
        <f t="shared" si="5"/>
        <v>0</v>
      </c>
      <c r="AU38" s="29">
        <f t="shared" si="85"/>
        <v>0</v>
      </c>
      <c r="AV38" s="27">
        <f t="shared" si="40"/>
        <v>0</v>
      </c>
      <c r="AW38" s="27">
        <f t="shared" si="41"/>
        <v>0</v>
      </c>
      <c r="AX38" s="27">
        <f t="shared" si="42"/>
        <v>0</v>
      </c>
      <c r="AY38" s="27">
        <f t="shared" si="43"/>
        <v>0</v>
      </c>
      <c r="AZ38" s="2" t="str">
        <f t="shared" si="93"/>
        <v/>
      </c>
      <c r="BA38" s="2" t="str">
        <f t="shared" si="94"/>
        <v/>
      </c>
      <c r="BB38" s="2" t="str">
        <f t="shared" si="95"/>
        <v/>
      </c>
      <c r="BC38" s="2" t="str">
        <f t="shared" si="96"/>
        <v/>
      </c>
      <c r="BD38" s="2" t="str">
        <f t="shared" si="97"/>
        <v/>
      </c>
      <c r="BE38" s="2" t="str">
        <f t="shared" si="98"/>
        <v/>
      </c>
      <c r="BF38" s="2" t="str">
        <f t="shared" si="99"/>
        <v/>
      </c>
      <c r="BG38" s="2" t="str">
        <f t="shared" si="100"/>
        <v/>
      </c>
      <c r="BH38" s="2">
        <f t="shared" si="51"/>
        <v>0</v>
      </c>
      <c r="BI38" s="298" t="str">
        <f t="shared" si="87"/>
        <v/>
      </c>
      <c r="BJ38" s="298" t="str">
        <f t="shared" si="52"/>
        <v/>
      </c>
      <c r="BQ38" s="4">
        <f t="shared" si="55"/>
        <v>45142</v>
      </c>
      <c r="BR38" s="112">
        <f t="shared" si="56"/>
        <v>0</v>
      </c>
      <c r="BS38" s="112">
        <f t="shared" si="57"/>
        <v>0</v>
      </c>
      <c r="BT38" s="112">
        <f t="shared" si="58"/>
        <v>0</v>
      </c>
      <c r="BU38" s="112">
        <f t="shared" si="59"/>
        <v>0</v>
      </c>
      <c r="BV38" s="112">
        <f t="shared" si="60"/>
        <v>0</v>
      </c>
      <c r="BX38" s="4"/>
      <c r="BY38" s="4"/>
      <c r="CI38" s="4">
        <f t="shared" si="65"/>
        <v>45142</v>
      </c>
      <c r="CJ38" s="50">
        <f ca="1">IF($BH38=0,IF($CO38="",CJ37+R38,IF('283'!$K$251=1,VLOOKUP($CO38,PerStBal,2)+R38,IF('283'!$K$253=1,(VLOOKUP($CO38,PerPortion,2)*VLOOKUP($CO38,PerStBal,6))+R38,GL!BS38))),0)</f>
        <v>0</v>
      </c>
      <c r="CK38" s="425">
        <f ca="1">IF($BH38=0,IF($CO38="",CK37+T38,IF('283'!$K$251=1,IF(mname2&lt;&gt;"",VLOOKUP($CO38,PerStBal,3)+T38,0),IF('283'!$K$253=1,(VLOOKUP($CO38,PerPortion,3)*VLOOKUP($CO38,PerStBal,6))+T38,GL!BT38))),0)</f>
        <v>0</v>
      </c>
      <c r="CL38" s="425">
        <f ca="1">IF($BH38=0,IF($CO38="",CL37+V38,IF('283'!$K$251=1,IF(mname3&lt;&gt;"",VLOOKUP($CO38,PerStBal,4)+V38,0),IF('283'!$K$253=1,(VLOOKUP($CO38,PerPortion,4)*VLOOKUP($CO38,PerStBal,6))+V38,GL!BU38))),0)</f>
        <v>0</v>
      </c>
      <c r="CM38" s="425">
        <f ca="1">IF($BH38=0,IF($CO38="",CM37+X38,IF('283'!$K$251=1,IF(mname4&lt;&gt;"",VLOOKUP($CO38,PerStBal,5)+X38,0),IF('283'!$K$253=1,(VLOOKUP($CO38,PerPortion,5)*VLOOKUP($CO38,PerStBal,6))+X38,GL!BV38))),0)</f>
        <v>0</v>
      </c>
      <c r="CN38" s="50">
        <f t="shared" ca="1" si="66"/>
        <v>0</v>
      </c>
      <c r="CO38" s="4" t="str">
        <f t="shared" ca="1" si="67"/>
        <v/>
      </c>
      <c r="CP38" s="377">
        <f t="shared" si="7"/>
        <v>0</v>
      </c>
      <c r="DI38" s="4">
        <f t="shared" si="70"/>
        <v>45142</v>
      </c>
      <c r="DJ38" s="112">
        <f t="shared" ca="1" si="71"/>
        <v>0</v>
      </c>
      <c r="DK38" s="112">
        <f t="shared" si="72"/>
        <v>0</v>
      </c>
      <c r="DL38" s="4">
        <f t="shared" si="73"/>
        <v>45142</v>
      </c>
      <c r="DM38" s="112">
        <f t="shared" ca="1" si="74"/>
        <v>0</v>
      </c>
      <c r="DN38" s="112">
        <f t="shared" si="75"/>
        <v>0</v>
      </c>
      <c r="DO38" s="4">
        <f t="shared" si="76"/>
        <v>45142</v>
      </c>
      <c r="DP38" s="112">
        <f t="shared" ca="1" si="77"/>
        <v>0</v>
      </c>
      <c r="DQ38" s="112">
        <f t="shared" si="78"/>
        <v>0</v>
      </c>
      <c r="DR38" s="4">
        <f t="shared" si="79"/>
        <v>45142</v>
      </c>
      <c r="DS38" s="112">
        <f t="shared" ca="1" si="80"/>
        <v>0</v>
      </c>
      <c r="DT38" s="112">
        <f t="shared" si="81"/>
        <v>0</v>
      </c>
      <c r="DU38" s="4">
        <f t="shared" si="82"/>
        <v>45142</v>
      </c>
      <c r="DV38" s="112">
        <f t="shared" si="83"/>
        <v>0</v>
      </c>
      <c r="DW38" s="112">
        <f t="shared" si="84"/>
        <v>0</v>
      </c>
    </row>
    <row r="39" spans="2:127" x14ac:dyDescent="0.25">
      <c r="B39" s="39" t="str">
        <f>IF(LEFT('283'!B146,1)="R","Benefits Paid","")</f>
        <v/>
      </c>
      <c r="C39" s="3" t="str">
        <f>IF(B39&lt;&gt;"",IF('283'!C146&lt;&gt;"",'283'!C146,""),"")</f>
        <v/>
      </c>
      <c r="D39" s="40" t="str">
        <f>IF($B39&lt;&gt;"",IF('283'!D146&lt;&gt;"",'283'!D146,""),"")</f>
        <v/>
      </c>
      <c r="E39" s="40" t="str">
        <f>IF($B39&lt;&gt;"",IF('283'!E146&lt;&gt;"",'283'!E146,""),"")</f>
        <v/>
      </c>
      <c r="F39" s="40" t="str">
        <f>IF($B39&lt;&gt;"",IF('283'!F146&lt;&gt;"",'283'!F146,""),"")</f>
        <v/>
      </c>
      <c r="G39" s="41" t="str">
        <f>IF($B39&lt;&gt;"",IF('283'!G146&lt;&gt;"",'283'!G146,""),"")</f>
        <v/>
      </c>
      <c r="H39" s="23">
        <v>35</v>
      </c>
      <c r="I39" s="42" t="str">
        <f>IF(AND(LEFT('283'!B146,1)&lt;&gt;"R",LEFT('283'!B146,1)&lt;&gt;""),'283'!B146,"")</f>
        <v/>
      </c>
      <c r="J39" s="3" t="str">
        <f>IF(I39&lt;&gt;"",IF('283'!C146&lt;&gt;"",'283'!C146,""),"")</f>
        <v/>
      </c>
      <c r="K39" s="40" t="str">
        <f>IF($I39&lt;&gt;"",IF('283'!D146&lt;&gt;"",IF(LEFT($I39,1)="N",-'283'!D146,'283'!D146),""),"")</f>
        <v/>
      </c>
      <c r="L39" s="40" t="str">
        <f>IF($I39&lt;&gt;"",IF('283'!E146&lt;&gt;"",IF(LEFT($I39,1)="N",-'283'!E146,'283'!E146),""),"")</f>
        <v/>
      </c>
      <c r="M39" s="40" t="str">
        <f>IF($I39&lt;&gt;"",IF('283'!F146&lt;&gt;"",IF(LEFT($I39,1)="N",-'283'!F146,'283'!F146),""),"")</f>
        <v/>
      </c>
      <c r="N39" s="40" t="str">
        <f>IF($I39&lt;&gt;"",IF('283'!G146&lt;&gt;"",IF(LEFT($I39,1)="N",-'283'!G146,'283'!G146),""),"")</f>
        <v/>
      </c>
      <c r="O39" s="43"/>
      <c r="P39" s="38"/>
      <c r="Q39" s="4">
        <f t="shared" si="16"/>
        <v>45143</v>
      </c>
      <c r="R39" s="24">
        <f t="shared" si="17"/>
        <v>0</v>
      </c>
      <c r="S39" s="25">
        <f t="shared" si="18"/>
        <v>0</v>
      </c>
      <c r="T39" s="24">
        <f t="shared" si="19"/>
        <v>0</v>
      </c>
      <c r="U39" s="25">
        <f t="shared" si="20"/>
        <v>0</v>
      </c>
      <c r="V39" s="24">
        <f t="shared" si="21"/>
        <v>0</v>
      </c>
      <c r="W39" s="25">
        <f t="shared" si="22"/>
        <v>0</v>
      </c>
      <c r="X39" s="24">
        <f t="shared" si="23"/>
        <v>0</v>
      </c>
      <c r="Y39" s="26">
        <f t="shared" si="24"/>
        <v>0</v>
      </c>
      <c r="Z39" s="27">
        <f t="shared" si="25"/>
        <v>0</v>
      </c>
      <c r="AA39" s="28">
        <f t="shared" si="26"/>
        <v>45143</v>
      </c>
      <c r="AB39" s="24">
        <f t="shared" si="27"/>
        <v>0</v>
      </c>
      <c r="AC39" s="25">
        <f t="shared" si="28"/>
        <v>0</v>
      </c>
      <c r="AD39" s="28">
        <f t="shared" si="29"/>
        <v>45143</v>
      </c>
      <c r="AE39" s="24">
        <f t="shared" si="30"/>
        <v>0</v>
      </c>
      <c r="AF39" s="25">
        <f t="shared" si="31"/>
        <v>0</v>
      </c>
      <c r="AG39" s="28">
        <f t="shared" si="32"/>
        <v>45143</v>
      </c>
      <c r="AH39" s="24">
        <f t="shared" si="33"/>
        <v>0</v>
      </c>
      <c r="AI39" s="25">
        <f t="shared" si="34"/>
        <v>0</v>
      </c>
      <c r="AJ39" s="28">
        <f t="shared" si="35"/>
        <v>45143</v>
      </c>
      <c r="AK39" s="24">
        <f t="shared" si="36"/>
        <v>0</v>
      </c>
      <c r="AL39" s="25">
        <f t="shared" si="37"/>
        <v>0</v>
      </c>
      <c r="AM39" s="29">
        <f t="shared" si="38"/>
        <v>0</v>
      </c>
      <c r="AN39" s="28">
        <f t="shared" si="39"/>
        <v>45143</v>
      </c>
      <c r="AO39" s="373">
        <f t="shared" si="0"/>
        <v>0</v>
      </c>
      <c r="AP39" s="374">
        <f t="shared" si="1"/>
        <v>0</v>
      </c>
      <c r="AQ39" s="27">
        <f t="shared" si="2"/>
        <v>0</v>
      </c>
      <c r="AR39" s="25">
        <f t="shared" si="3"/>
        <v>0</v>
      </c>
      <c r="AS39" s="25">
        <f t="shared" si="4"/>
        <v>0</v>
      </c>
      <c r="AT39" s="25">
        <f t="shared" si="5"/>
        <v>0</v>
      </c>
      <c r="AU39" s="29">
        <f t="shared" si="85"/>
        <v>0</v>
      </c>
      <c r="AV39" s="27">
        <f t="shared" si="40"/>
        <v>0</v>
      </c>
      <c r="AW39" s="27">
        <f t="shared" si="41"/>
        <v>0</v>
      </c>
      <c r="AX39" s="27">
        <f t="shared" si="42"/>
        <v>0</v>
      </c>
      <c r="AY39" s="27">
        <f t="shared" si="43"/>
        <v>0</v>
      </c>
      <c r="AZ39" s="2" t="str">
        <f t="shared" si="93"/>
        <v/>
      </c>
      <c r="BA39" s="2" t="str">
        <f t="shared" si="94"/>
        <v/>
      </c>
      <c r="BB39" s="2" t="str">
        <f t="shared" si="95"/>
        <v/>
      </c>
      <c r="BC39" s="2" t="str">
        <f t="shared" si="96"/>
        <v/>
      </c>
      <c r="BD39" s="2" t="str">
        <f t="shared" si="97"/>
        <v/>
      </c>
      <c r="BE39" s="2" t="str">
        <f t="shared" si="98"/>
        <v/>
      </c>
      <c r="BF39" s="2" t="str">
        <f t="shared" si="99"/>
        <v/>
      </c>
      <c r="BG39" s="2" t="str">
        <f t="shared" si="100"/>
        <v/>
      </c>
      <c r="BH39" s="2">
        <f t="shared" si="51"/>
        <v>0</v>
      </c>
      <c r="BI39" s="298" t="str">
        <f t="shared" si="87"/>
        <v/>
      </c>
      <c r="BJ39" s="298" t="str">
        <f t="shared" si="52"/>
        <v/>
      </c>
      <c r="BQ39" s="4">
        <f t="shared" si="55"/>
        <v>45143</v>
      </c>
      <c r="BR39" s="112">
        <f t="shared" si="56"/>
        <v>0</v>
      </c>
      <c r="BS39" s="112">
        <f t="shared" si="57"/>
        <v>0</v>
      </c>
      <c r="BT39" s="112">
        <f t="shared" si="58"/>
        <v>0</v>
      </c>
      <c r="BU39" s="112">
        <f t="shared" si="59"/>
        <v>0</v>
      </c>
      <c r="BV39" s="112">
        <f t="shared" si="60"/>
        <v>0</v>
      </c>
      <c r="BX39" s="4"/>
      <c r="BY39" s="4"/>
      <c r="CI39" s="4">
        <f t="shared" si="65"/>
        <v>45143</v>
      </c>
      <c r="CJ39" s="50">
        <f ca="1">IF($BH39=0,IF($CO39="",CJ38+R39,IF('283'!$K$251=1,VLOOKUP($CO39,PerStBal,2)+R39,IF('283'!$K$253=1,(VLOOKUP($CO39,PerPortion,2)*VLOOKUP($CO39,PerStBal,6))+R39,GL!BS39))),0)</f>
        <v>0</v>
      </c>
      <c r="CK39" s="425">
        <f ca="1">IF($BH39=0,IF($CO39="",CK38+T39,IF('283'!$K$251=1,IF(mname2&lt;&gt;"",VLOOKUP($CO39,PerStBal,3)+T39,0),IF('283'!$K$253=1,(VLOOKUP($CO39,PerPortion,3)*VLOOKUP($CO39,PerStBal,6))+T39,GL!BT39))),0)</f>
        <v>0</v>
      </c>
      <c r="CL39" s="425">
        <f ca="1">IF($BH39=0,IF($CO39="",CL38+V39,IF('283'!$K$251=1,IF(mname3&lt;&gt;"",VLOOKUP($CO39,PerStBal,4)+V39,0),IF('283'!$K$253=1,(VLOOKUP($CO39,PerPortion,4)*VLOOKUP($CO39,PerStBal,6))+V39,GL!BU39))),0)</f>
        <v>0</v>
      </c>
      <c r="CM39" s="425">
        <f ca="1">IF($BH39=0,IF($CO39="",CM38+X39,IF('283'!$K$251=1,IF(mname4&lt;&gt;"",VLOOKUP($CO39,PerStBal,5)+X39,0),IF('283'!$K$253=1,(VLOOKUP($CO39,PerPortion,5)*VLOOKUP($CO39,PerStBal,6))+X39,GL!BV39))),0)</f>
        <v>0</v>
      </c>
      <c r="CN39" s="50">
        <f t="shared" ca="1" si="66"/>
        <v>0</v>
      </c>
      <c r="CO39" s="4" t="str">
        <f t="shared" ca="1" si="67"/>
        <v/>
      </c>
      <c r="CP39" s="377">
        <f t="shared" si="7"/>
        <v>0</v>
      </c>
      <c r="DI39" s="4">
        <f t="shared" si="70"/>
        <v>45143</v>
      </c>
      <c r="DJ39" s="112">
        <f t="shared" ca="1" si="71"/>
        <v>0</v>
      </c>
      <c r="DK39" s="112">
        <f t="shared" si="72"/>
        <v>0</v>
      </c>
      <c r="DL39" s="4">
        <f t="shared" si="73"/>
        <v>45143</v>
      </c>
      <c r="DM39" s="112">
        <f t="shared" ca="1" si="74"/>
        <v>0</v>
      </c>
      <c r="DN39" s="112">
        <f t="shared" si="75"/>
        <v>0</v>
      </c>
      <c r="DO39" s="4">
        <f t="shared" si="76"/>
        <v>45143</v>
      </c>
      <c r="DP39" s="112">
        <f t="shared" ca="1" si="77"/>
        <v>0</v>
      </c>
      <c r="DQ39" s="112">
        <f t="shared" si="78"/>
        <v>0</v>
      </c>
      <c r="DR39" s="4">
        <f t="shared" si="79"/>
        <v>45143</v>
      </c>
      <c r="DS39" s="112">
        <f t="shared" ca="1" si="80"/>
        <v>0</v>
      </c>
      <c r="DT39" s="112">
        <f t="shared" si="81"/>
        <v>0</v>
      </c>
      <c r="DU39" s="4">
        <f t="shared" si="82"/>
        <v>45143</v>
      </c>
      <c r="DV39" s="112">
        <f t="shared" si="83"/>
        <v>0</v>
      </c>
      <c r="DW39" s="112">
        <f t="shared" si="84"/>
        <v>0</v>
      </c>
    </row>
    <row r="40" spans="2:127" x14ac:dyDescent="0.25">
      <c r="B40" s="39" t="str">
        <f>IF(LEFT('283'!B147,1)="R","Benefits Paid","")</f>
        <v/>
      </c>
      <c r="C40" s="3" t="str">
        <f>IF(B40&lt;&gt;"",IF('283'!C147&lt;&gt;"",'283'!C147,""),"")</f>
        <v/>
      </c>
      <c r="D40" s="40" t="str">
        <f>IF($B40&lt;&gt;"",IF('283'!D147&lt;&gt;"",'283'!D147,""),"")</f>
        <v/>
      </c>
      <c r="E40" s="40" t="str">
        <f>IF($B40&lt;&gt;"",IF('283'!E147&lt;&gt;"",'283'!E147,""),"")</f>
        <v/>
      </c>
      <c r="F40" s="40" t="str">
        <f>IF($B40&lt;&gt;"",IF('283'!F147&lt;&gt;"",'283'!F147,""),"")</f>
        <v/>
      </c>
      <c r="G40" s="41" t="str">
        <f>IF($B40&lt;&gt;"",IF('283'!G147&lt;&gt;"",'283'!G147,""),"")</f>
        <v/>
      </c>
      <c r="H40" s="23">
        <v>36</v>
      </c>
      <c r="I40" s="42" t="str">
        <f>IF(AND(LEFT('283'!B147,1)&lt;&gt;"R",LEFT('283'!B147,1)&lt;&gt;""),'283'!B147,"")</f>
        <v/>
      </c>
      <c r="J40" s="3" t="str">
        <f>IF(I40&lt;&gt;"",IF('283'!C147&lt;&gt;"",'283'!C147,""),"")</f>
        <v/>
      </c>
      <c r="K40" s="40" t="str">
        <f>IF($I40&lt;&gt;"",IF('283'!D147&lt;&gt;"",IF(LEFT($I40,1)="N",-'283'!D147,'283'!D147),""),"")</f>
        <v/>
      </c>
      <c r="L40" s="40" t="str">
        <f>IF($I40&lt;&gt;"",IF('283'!E147&lt;&gt;"",IF(LEFT($I40,1)="N",-'283'!E147,'283'!E147),""),"")</f>
        <v/>
      </c>
      <c r="M40" s="40" t="str">
        <f>IF($I40&lt;&gt;"",IF('283'!F147&lt;&gt;"",IF(LEFT($I40,1)="N",-'283'!F147,'283'!F147),""),"")</f>
        <v/>
      </c>
      <c r="N40" s="40" t="str">
        <f>IF($I40&lt;&gt;"",IF('283'!G147&lt;&gt;"",IF(LEFT($I40,1)="N",-'283'!G147,'283'!G147),""),"")</f>
        <v/>
      </c>
      <c r="O40" s="43"/>
      <c r="P40" s="38"/>
      <c r="Q40" s="4">
        <f t="shared" si="16"/>
        <v>45144</v>
      </c>
      <c r="R40" s="24">
        <f t="shared" si="17"/>
        <v>0</v>
      </c>
      <c r="S40" s="25">
        <f t="shared" si="18"/>
        <v>0</v>
      </c>
      <c r="T40" s="24">
        <f t="shared" si="19"/>
        <v>0</v>
      </c>
      <c r="U40" s="25">
        <f t="shared" si="20"/>
        <v>0</v>
      </c>
      <c r="V40" s="24">
        <f t="shared" si="21"/>
        <v>0</v>
      </c>
      <c r="W40" s="25">
        <f t="shared" si="22"/>
        <v>0</v>
      </c>
      <c r="X40" s="24">
        <f t="shared" si="23"/>
        <v>0</v>
      </c>
      <c r="Y40" s="26">
        <f t="shared" si="24"/>
        <v>0</v>
      </c>
      <c r="Z40" s="27">
        <f t="shared" si="25"/>
        <v>0</v>
      </c>
      <c r="AA40" s="28">
        <f t="shared" si="26"/>
        <v>45144</v>
      </c>
      <c r="AB40" s="24">
        <f t="shared" si="27"/>
        <v>0</v>
      </c>
      <c r="AC40" s="25">
        <f t="shared" si="28"/>
        <v>0</v>
      </c>
      <c r="AD40" s="28">
        <f t="shared" si="29"/>
        <v>45144</v>
      </c>
      <c r="AE40" s="24">
        <f t="shared" si="30"/>
        <v>0</v>
      </c>
      <c r="AF40" s="25">
        <f t="shared" si="31"/>
        <v>0</v>
      </c>
      <c r="AG40" s="28">
        <f t="shared" si="32"/>
        <v>45144</v>
      </c>
      <c r="AH40" s="24">
        <f t="shared" si="33"/>
        <v>0</v>
      </c>
      <c r="AI40" s="25">
        <f t="shared" si="34"/>
        <v>0</v>
      </c>
      <c r="AJ40" s="28">
        <f t="shared" si="35"/>
        <v>45144</v>
      </c>
      <c r="AK40" s="24">
        <f t="shared" si="36"/>
        <v>0</v>
      </c>
      <c r="AL40" s="25">
        <f t="shared" si="37"/>
        <v>0</v>
      </c>
      <c r="AM40" s="29">
        <f t="shared" si="38"/>
        <v>0</v>
      </c>
      <c r="AN40" s="28">
        <f t="shared" si="39"/>
        <v>45144</v>
      </c>
      <c r="AO40" s="373">
        <f t="shared" si="0"/>
        <v>0</v>
      </c>
      <c r="AP40" s="374">
        <f t="shared" si="1"/>
        <v>0</v>
      </c>
      <c r="AQ40" s="27">
        <f t="shared" si="2"/>
        <v>0</v>
      </c>
      <c r="AR40" s="25">
        <f t="shared" si="3"/>
        <v>0</v>
      </c>
      <c r="AS40" s="25">
        <f t="shared" si="4"/>
        <v>0</v>
      </c>
      <c r="AT40" s="25">
        <f t="shared" si="5"/>
        <v>0</v>
      </c>
      <c r="AU40" s="29">
        <f t="shared" si="85"/>
        <v>0</v>
      </c>
      <c r="AV40" s="27">
        <f t="shared" si="40"/>
        <v>0</v>
      </c>
      <c r="AW40" s="27">
        <f t="shared" si="41"/>
        <v>0</v>
      </c>
      <c r="AX40" s="27">
        <f t="shared" si="42"/>
        <v>0</v>
      </c>
      <c r="AY40" s="27">
        <f t="shared" si="43"/>
        <v>0</v>
      </c>
      <c r="AZ40" s="2" t="str">
        <f t="shared" si="93"/>
        <v/>
      </c>
      <c r="BA40" s="2" t="str">
        <f t="shared" si="94"/>
        <v/>
      </c>
      <c r="BB40" s="2" t="str">
        <f t="shared" si="95"/>
        <v/>
      </c>
      <c r="BC40" s="2" t="str">
        <f t="shared" si="96"/>
        <v/>
      </c>
      <c r="BD40" s="2" t="str">
        <f t="shared" si="97"/>
        <v/>
      </c>
      <c r="BE40" s="2" t="str">
        <f t="shared" si="98"/>
        <v/>
      </c>
      <c r="BF40" s="2" t="str">
        <f t="shared" si="99"/>
        <v/>
      </c>
      <c r="BG40" s="2" t="str">
        <f t="shared" si="100"/>
        <v/>
      </c>
      <c r="BH40" s="2">
        <f t="shared" si="51"/>
        <v>0</v>
      </c>
      <c r="BI40" s="298" t="str">
        <f t="shared" si="87"/>
        <v/>
      </c>
      <c r="BJ40" s="298" t="str">
        <f t="shared" si="52"/>
        <v/>
      </c>
      <c r="BQ40" s="4">
        <f t="shared" si="55"/>
        <v>45144</v>
      </c>
      <c r="BR40" s="112">
        <f t="shared" si="56"/>
        <v>0</v>
      </c>
      <c r="BS40" s="112">
        <f t="shared" si="57"/>
        <v>0</v>
      </c>
      <c r="BT40" s="112">
        <f t="shared" si="58"/>
        <v>0</v>
      </c>
      <c r="BU40" s="112">
        <f t="shared" si="59"/>
        <v>0</v>
      </c>
      <c r="BV40" s="112">
        <f t="shared" si="60"/>
        <v>0</v>
      </c>
      <c r="BX40" s="4"/>
      <c r="BY40" s="4"/>
      <c r="CI40" s="4">
        <f t="shared" si="65"/>
        <v>45144</v>
      </c>
      <c r="CJ40" s="50">
        <f ca="1">IF($BH40=0,IF($CO40="",CJ39+R40,IF('283'!$K$251=1,VLOOKUP($CO40,PerStBal,2)+R40,IF('283'!$K$253=1,(VLOOKUP($CO40,PerPortion,2)*VLOOKUP($CO40,PerStBal,6))+R40,GL!BS40))),0)</f>
        <v>0</v>
      </c>
      <c r="CK40" s="425">
        <f ca="1">IF($BH40=0,IF($CO40="",CK39+T40,IF('283'!$K$251=1,IF(mname2&lt;&gt;"",VLOOKUP($CO40,PerStBal,3)+T40,0),IF('283'!$K$253=1,(VLOOKUP($CO40,PerPortion,3)*VLOOKUP($CO40,PerStBal,6))+T40,GL!BT40))),0)</f>
        <v>0</v>
      </c>
      <c r="CL40" s="425">
        <f ca="1">IF($BH40=0,IF($CO40="",CL39+V40,IF('283'!$K$251=1,IF(mname3&lt;&gt;"",VLOOKUP($CO40,PerStBal,4)+V40,0),IF('283'!$K$253=1,(VLOOKUP($CO40,PerPortion,4)*VLOOKUP($CO40,PerStBal,6))+V40,GL!BU40))),0)</f>
        <v>0</v>
      </c>
      <c r="CM40" s="425">
        <f ca="1">IF($BH40=0,IF($CO40="",CM39+X40,IF('283'!$K$251=1,IF(mname4&lt;&gt;"",VLOOKUP($CO40,PerStBal,5)+X40,0),IF('283'!$K$253=1,(VLOOKUP($CO40,PerPortion,5)*VLOOKUP($CO40,PerStBal,6))+X40,GL!BV40))),0)</f>
        <v>0</v>
      </c>
      <c r="CN40" s="50">
        <f t="shared" ca="1" si="66"/>
        <v>0</v>
      </c>
      <c r="CO40" s="4" t="str">
        <f t="shared" ca="1" si="67"/>
        <v/>
      </c>
      <c r="CP40" s="377">
        <f t="shared" si="7"/>
        <v>0</v>
      </c>
      <c r="DI40" s="4">
        <f t="shared" si="70"/>
        <v>45144</v>
      </c>
      <c r="DJ40" s="112">
        <f t="shared" ca="1" si="71"/>
        <v>0</v>
      </c>
      <c r="DK40" s="112">
        <f t="shared" si="72"/>
        <v>0</v>
      </c>
      <c r="DL40" s="4">
        <f t="shared" si="73"/>
        <v>45144</v>
      </c>
      <c r="DM40" s="112">
        <f t="shared" ca="1" si="74"/>
        <v>0</v>
      </c>
      <c r="DN40" s="112">
        <f t="shared" si="75"/>
        <v>0</v>
      </c>
      <c r="DO40" s="4">
        <f t="shared" si="76"/>
        <v>45144</v>
      </c>
      <c r="DP40" s="112">
        <f t="shared" ca="1" si="77"/>
        <v>0</v>
      </c>
      <c r="DQ40" s="112">
        <f t="shared" si="78"/>
        <v>0</v>
      </c>
      <c r="DR40" s="4">
        <f t="shared" si="79"/>
        <v>45144</v>
      </c>
      <c r="DS40" s="112">
        <f t="shared" ca="1" si="80"/>
        <v>0</v>
      </c>
      <c r="DT40" s="112">
        <f t="shared" si="81"/>
        <v>0</v>
      </c>
      <c r="DU40" s="4">
        <f t="shared" si="82"/>
        <v>45144</v>
      </c>
      <c r="DV40" s="112">
        <f t="shared" si="83"/>
        <v>0</v>
      </c>
      <c r="DW40" s="112">
        <f t="shared" si="84"/>
        <v>0</v>
      </c>
    </row>
    <row r="41" spans="2:127" x14ac:dyDescent="0.25">
      <c r="B41" s="39" t="str">
        <f>IF(LEFT('283'!B148,1)="R","Benefits Paid","")</f>
        <v/>
      </c>
      <c r="C41" s="3" t="str">
        <f>IF(B41&lt;&gt;"",IF('283'!C148&lt;&gt;"",'283'!C148,""),"")</f>
        <v/>
      </c>
      <c r="D41" s="40" t="str">
        <f>IF($B41&lt;&gt;"",IF('283'!D148&lt;&gt;"",'283'!D148,""),"")</f>
        <v/>
      </c>
      <c r="E41" s="40" t="str">
        <f>IF($B41&lt;&gt;"",IF('283'!E148&lt;&gt;"",'283'!E148,""),"")</f>
        <v/>
      </c>
      <c r="F41" s="40" t="str">
        <f>IF($B41&lt;&gt;"",IF('283'!F148&lt;&gt;"",'283'!F148,""),"")</f>
        <v/>
      </c>
      <c r="G41" s="41" t="str">
        <f>IF($B41&lt;&gt;"",IF('283'!G148&lt;&gt;"",'283'!G148,""),"")</f>
        <v/>
      </c>
      <c r="H41" s="23">
        <v>37</v>
      </c>
      <c r="I41" s="42" t="str">
        <f>IF(AND(LEFT('283'!B148,1)&lt;&gt;"R",LEFT('283'!B148,1)&lt;&gt;""),'283'!B148,"")</f>
        <v/>
      </c>
      <c r="J41" s="3" t="str">
        <f>IF(I41&lt;&gt;"",IF('283'!C148&lt;&gt;"",'283'!C148,""),"")</f>
        <v/>
      </c>
      <c r="K41" s="40" t="str">
        <f>IF($I41&lt;&gt;"",IF('283'!D148&lt;&gt;"",IF(LEFT($I41,1)="N",-'283'!D148,'283'!D148),""),"")</f>
        <v/>
      </c>
      <c r="L41" s="40" t="str">
        <f>IF($I41&lt;&gt;"",IF('283'!E148&lt;&gt;"",IF(LEFT($I41,1)="N",-'283'!E148,'283'!E148),""),"")</f>
        <v/>
      </c>
      <c r="M41" s="40" t="str">
        <f>IF($I41&lt;&gt;"",IF('283'!F148&lt;&gt;"",IF(LEFT($I41,1)="N",-'283'!F148,'283'!F148),""),"")</f>
        <v/>
      </c>
      <c r="N41" s="40" t="str">
        <f>IF($I41&lt;&gt;"",IF('283'!G148&lt;&gt;"",IF(LEFT($I41,1)="N",-'283'!G148,'283'!G148),""),"")</f>
        <v/>
      </c>
      <c r="O41" s="43"/>
      <c r="P41" s="38"/>
      <c r="Q41" s="4">
        <f t="shared" si="16"/>
        <v>45145</v>
      </c>
      <c r="R41" s="24">
        <f t="shared" si="17"/>
        <v>0</v>
      </c>
      <c r="S41" s="25">
        <f t="shared" si="18"/>
        <v>0</v>
      </c>
      <c r="T41" s="24">
        <f t="shared" si="19"/>
        <v>0</v>
      </c>
      <c r="U41" s="25">
        <f t="shared" si="20"/>
        <v>0</v>
      </c>
      <c r="V41" s="24">
        <f t="shared" si="21"/>
        <v>0</v>
      </c>
      <c r="W41" s="25">
        <f t="shared" si="22"/>
        <v>0</v>
      </c>
      <c r="X41" s="24">
        <f t="shared" si="23"/>
        <v>0</v>
      </c>
      <c r="Y41" s="26">
        <f t="shared" si="24"/>
        <v>0</v>
      </c>
      <c r="Z41" s="27">
        <f t="shared" si="25"/>
        <v>0</v>
      </c>
      <c r="AA41" s="28">
        <f t="shared" si="26"/>
        <v>45145</v>
      </c>
      <c r="AB41" s="24">
        <f t="shared" si="27"/>
        <v>0</v>
      </c>
      <c r="AC41" s="25">
        <f t="shared" si="28"/>
        <v>0</v>
      </c>
      <c r="AD41" s="28">
        <f t="shared" si="29"/>
        <v>45145</v>
      </c>
      <c r="AE41" s="24">
        <f t="shared" si="30"/>
        <v>0</v>
      </c>
      <c r="AF41" s="25">
        <f t="shared" si="31"/>
        <v>0</v>
      </c>
      <c r="AG41" s="28">
        <f t="shared" si="32"/>
        <v>45145</v>
      </c>
      <c r="AH41" s="24">
        <f t="shared" si="33"/>
        <v>0</v>
      </c>
      <c r="AI41" s="25">
        <f t="shared" si="34"/>
        <v>0</v>
      </c>
      <c r="AJ41" s="28">
        <f t="shared" si="35"/>
        <v>45145</v>
      </c>
      <c r="AK41" s="24">
        <f t="shared" si="36"/>
        <v>0</v>
      </c>
      <c r="AL41" s="25">
        <f t="shared" si="37"/>
        <v>0</v>
      </c>
      <c r="AM41" s="29">
        <f t="shared" si="38"/>
        <v>0</v>
      </c>
      <c r="AN41" s="28">
        <f t="shared" si="39"/>
        <v>45145</v>
      </c>
      <c r="AO41" s="373">
        <f t="shared" si="0"/>
        <v>0</v>
      </c>
      <c r="AP41" s="374">
        <f t="shared" si="1"/>
        <v>0</v>
      </c>
      <c r="AQ41" s="27">
        <f t="shared" si="2"/>
        <v>0</v>
      </c>
      <c r="AR41" s="25">
        <f t="shared" si="3"/>
        <v>0</v>
      </c>
      <c r="AS41" s="25">
        <f t="shared" si="4"/>
        <v>0</v>
      </c>
      <c r="AT41" s="25">
        <f t="shared" si="5"/>
        <v>0</v>
      </c>
      <c r="AU41" s="29">
        <f t="shared" si="85"/>
        <v>0</v>
      </c>
      <c r="AV41" s="27">
        <f t="shared" si="40"/>
        <v>0</v>
      </c>
      <c r="AW41" s="27">
        <f t="shared" si="41"/>
        <v>0</v>
      </c>
      <c r="AX41" s="27">
        <f t="shared" si="42"/>
        <v>0</v>
      </c>
      <c r="AY41" s="27">
        <f t="shared" si="43"/>
        <v>0</v>
      </c>
      <c r="AZ41" s="2" t="str">
        <f t="shared" si="93"/>
        <v/>
      </c>
      <c r="BA41" s="2" t="str">
        <f t="shared" si="94"/>
        <v/>
      </c>
      <c r="BB41" s="2" t="str">
        <f t="shared" si="95"/>
        <v/>
      </c>
      <c r="BC41" s="2" t="str">
        <f t="shared" si="96"/>
        <v/>
      </c>
      <c r="BD41" s="2" t="str">
        <f t="shared" si="97"/>
        <v/>
      </c>
      <c r="BE41" s="2" t="str">
        <f t="shared" si="98"/>
        <v/>
      </c>
      <c r="BF41" s="2" t="str">
        <f t="shared" si="99"/>
        <v/>
      </c>
      <c r="BG41" s="2" t="str">
        <f t="shared" si="100"/>
        <v/>
      </c>
      <c r="BH41" s="2">
        <f t="shared" si="51"/>
        <v>0</v>
      </c>
      <c r="BI41" s="298" t="str">
        <f t="shared" si="87"/>
        <v/>
      </c>
      <c r="BJ41" s="298" t="str">
        <f t="shared" si="52"/>
        <v/>
      </c>
      <c r="BQ41" s="4">
        <f t="shared" si="55"/>
        <v>45145</v>
      </c>
      <c r="BR41" s="112">
        <f t="shared" si="56"/>
        <v>0</v>
      </c>
      <c r="BS41" s="112">
        <f t="shared" si="57"/>
        <v>0</v>
      </c>
      <c r="BT41" s="112">
        <f t="shared" si="58"/>
        <v>0</v>
      </c>
      <c r="BU41" s="112">
        <f t="shared" si="59"/>
        <v>0</v>
      </c>
      <c r="BV41" s="112">
        <f t="shared" si="60"/>
        <v>0</v>
      </c>
      <c r="BX41" s="4"/>
      <c r="BY41" s="4"/>
      <c r="CI41" s="4">
        <f t="shared" si="65"/>
        <v>45145</v>
      </c>
      <c r="CJ41" s="50">
        <f ca="1">IF($BH41=0,IF($CO41="",CJ40+R41,IF('283'!$K$251=1,VLOOKUP($CO41,PerStBal,2)+R41,IF('283'!$K$253=1,(VLOOKUP($CO41,PerPortion,2)*VLOOKUP($CO41,PerStBal,6))+R41,GL!BS41))),0)</f>
        <v>0</v>
      </c>
      <c r="CK41" s="425">
        <f ca="1">IF($BH41=0,IF($CO41="",CK40+T41,IF('283'!$K$251=1,IF(mname2&lt;&gt;"",VLOOKUP($CO41,PerStBal,3)+T41,0),IF('283'!$K$253=1,(VLOOKUP($CO41,PerPortion,3)*VLOOKUP($CO41,PerStBal,6))+T41,GL!BT41))),0)</f>
        <v>0</v>
      </c>
      <c r="CL41" s="425">
        <f ca="1">IF($BH41=0,IF($CO41="",CL40+V41,IF('283'!$K$251=1,IF(mname3&lt;&gt;"",VLOOKUP($CO41,PerStBal,4)+V41,0),IF('283'!$K$253=1,(VLOOKUP($CO41,PerPortion,4)*VLOOKUP($CO41,PerStBal,6))+V41,GL!BU41))),0)</f>
        <v>0</v>
      </c>
      <c r="CM41" s="425">
        <f ca="1">IF($BH41=0,IF($CO41="",CM40+X41,IF('283'!$K$251=1,IF(mname4&lt;&gt;"",VLOOKUP($CO41,PerStBal,5)+X41,0),IF('283'!$K$253=1,(VLOOKUP($CO41,PerPortion,5)*VLOOKUP($CO41,PerStBal,6))+X41,GL!BV41))),0)</f>
        <v>0</v>
      </c>
      <c r="CN41" s="50">
        <f t="shared" ca="1" si="66"/>
        <v>0</v>
      </c>
      <c r="CO41" s="4" t="str">
        <f t="shared" ca="1" si="67"/>
        <v/>
      </c>
      <c r="CP41" s="377">
        <f t="shared" si="7"/>
        <v>0</v>
      </c>
      <c r="DI41" s="4">
        <f t="shared" si="70"/>
        <v>45145</v>
      </c>
      <c r="DJ41" s="112">
        <f t="shared" ca="1" si="71"/>
        <v>0</v>
      </c>
      <c r="DK41" s="112">
        <f t="shared" si="72"/>
        <v>0</v>
      </c>
      <c r="DL41" s="4">
        <f t="shared" si="73"/>
        <v>45145</v>
      </c>
      <c r="DM41" s="112">
        <f t="shared" ca="1" si="74"/>
        <v>0</v>
      </c>
      <c r="DN41" s="112">
        <f t="shared" si="75"/>
        <v>0</v>
      </c>
      <c r="DO41" s="4">
        <f t="shared" si="76"/>
        <v>45145</v>
      </c>
      <c r="DP41" s="112">
        <f t="shared" ca="1" si="77"/>
        <v>0</v>
      </c>
      <c r="DQ41" s="112">
        <f t="shared" si="78"/>
        <v>0</v>
      </c>
      <c r="DR41" s="4">
        <f t="shared" si="79"/>
        <v>45145</v>
      </c>
      <c r="DS41" s="112">
        <f t="shared" ca="1" si="80"/>
        <v>0</v>
      </c>
      <c r="DT41" s="112">
        <f t="shared" si="81"/>
        <v>0</v>
      </c>
      <c r="DU41" s="4">
        <f t="shared" si="82"/>
        <v>45145</v>
      </c>
      <c r="DV41" s="112">
        <f t="shared" si="83"/>
        <v>0</v>
      </c>
      <c r="DW41" s="112">
        <f t="shared" si="84"/>
        <v>0</v>
      </c>
    </row>
    <row r="42" spans="2:127" x14ac:dyDescent="0.25">
      <c r="B42" s="39" t="str">
        <f>IF(LEFT('283'!B149,1)="R","Benefits Paid","")</f>
        <v/>
      </c>
      <c r="C42" s="3" t="str">
        <f>IF(B42&lt;&gt;"",IF('283'!C149&lt;&gt;"",'283'!C149,""),"")</f>
        <v/>
      </c>
      <c r="D42" s="40" t="str">
        <f>IF($B42&lt;&gt;"",IF('283'!D149&lt;&gt;"",'283'!D149,""),"")</f>
        <v/>
      </c>
      <c r="E42" s="40" t="str">
        <f>IF($B42&lt;&gt;"",IF('283'!E149&lt;&gt;"",'283'!E149,""),"")</f>
        <v/>
      </c>
      <c r="F42" s="40" t="str">
        <f>IF($B42&lt;&gt;"",IF('283'!F149&lt;&gt;"",'283'!F149,""),"")</f>
        <v/>
      </c>
      <c r="G42" s="41" t="str">
        <f>IF($B42&lt;&gt;"",IF('283'!G149&lt;&gt;"",'283'!G149,""),"")</f>
        <v/>
      </c>
      <c r="H42" s="23">
        <v>38</v>
      </c>
      <c r="I42" s="42" t="str">
        <f>IF(AND(LEFT('283'!B149,1)&lt;&gt;"R",LEFT('283'!B149,1)&lt;&gt;""),'283'!B149,"")</f>
        <v/>
      </c>
      <c r="J42" s="3" t="str">
        <f>IF(I42&lt;&gt;"",IF('283'!C149&lt;&gt;"",'283'!C149,""),"")</f>
        <v/>
      </c>
      <c r="K42" s="40" t="str">
        <f>IF($I42&lt;&gt;"",IF('283'!D149&lt;&gt;"",IF(LEFT($I42,1)="N",-'283'!D149,'283'!D149),""),"")</f>
        <v/>
      </c>
      <c r="L42" s="40" t="str">
        <f>IF($I42&lt;&gt;"",IF('283'!E149&lt;&gt;"",IF(LEFT($I42,1)="N",-'283'!E149,'283'!E149),""),"")</f>
        <v/>
      </c>
      <c r="M42" s="40" t="str">
        <f>IF($I42&lt;&gt;"",IF('283'!F149&lt;&gt;"",IF(LEFT($I42,1)="N",-'283'!F149,'283'!F149),""),"")</f>
        <v/>
      </c>
      <c r="N42" s="40" t="str">
        <f>IF($I42&lt;&gt;"",IF('283'!G149&lt;&gt;"",IF(LEFT($I42,1)="N",-'283'!G149,'283'!G149),""),"")</f>
        <v/>
      </c>
      <c r="O42" s="43"/>
      <c r="P42" s="38"/>
      <c r="Q42" s="4">
        <f t="shared" si="16"/>
        <v>45146</v>
      </c>
      <c r="R42" s="24">
        <f t="shared" si="17"/>
        <v>0</v>
      </c>
      <c r="S42" s="25">
        <f t="shared" si="18"/>
        <v>0</v>
      </c>
      <c r="T42" s="24">
        <f t="shared" si="19"/>
        <v>0</v>
      </c>
      <c r="U42" s="25">
        <f t="shared" si="20"/>
        <v>0</v>
      </c>
      <c r="V42" s="24">
        <f t="shared" si="21"/>
        <v>0</v>
      </c>
      <c r="W42" s="25">
        <f t="shared" si="22"/>
        <v>0</v>
      </c>
      <c r="X42" s="24">
        <f t="shared" si="23"/>
        <v>0</v>
      </c>
      <c r="Y42" s="26">
        <f t="shared" si="24"/>
        <v>0</v>
      </c>
      <c r="Z42" s="27">
        <f t="shared" si="25"/>
        <v>0</v>
      </c>
      <c r="AA42" s="28">
        <f t="shared" si="26"/>
        <v>45146</v>
      </c>
      <c r="AB42" s="24">
        <f t="shared" si="27"/>
        <v>0</v>
      </c>
      <c r="AC42" s="25">
        <f t="shared" si="28"/>
        <v>0</v>
      </c>
      <c r="AD42" s="28">
        <f t="shared" si="29"/>
        <v>45146</v>
      </c>
      <c r="AE42" s="24">
        <f t="shared" si="30"/>
        <v>0</v>
      </c>
      <c r="AF42" s="25">
        <f t="shared" si="31"/>
        <v>0</v>
      </c>
      <c r="AG42" s="28">
        <f t="shared" si="32"/>
        <v>45146</v>
      </c>
      <c r="AH42" s="24">
        <f t="shared" si="33"/>
        <v>0</v>
      </c>
      <c r="AI42" s="25">
        <f t="shared" si="34"/>
        <v>0</v>
      </c>
      <c r="AJ42" s="28">
        <f t="shared" si="35"/>
        <v>45146</v>
      </c>
      <c r="AK42" s="24">
        <f t="shared" si="36"/>
        <v>0</v>
      </c>
      <c r="AL42" s="25">
        <f t="shared" si="37"/>
        <v>0</v>
      </c>
      <c r="AM42" s="29">
        <f t="shared" si="38"/>
        <v>0</v>
      </c>
      <c r="AN42" s="28">
        <f t="shared" si="39"/>
        <v>45146</v>
      </c>
      <c r="AO42" s="373">
        <f t="shared" si="0"/>
        <v>0</v>
      </c>
      <c r="AP42" s="374">
        <f t="shared" si="1"/>
        <v>0</v>
      </c>
      <c r="AQ42" s="27">
        <f t="shared" si="2"/>
        <v>0</v>
      </c>
      <c r="AR42" s="25">
        <f t="shared" si="3"/>
        <v>0</v>
      </c>
      <c r="AS42" s="25">
        <f t="shared" si="4"/>
        <v>0</v>
      </c>
      <c r="AT42" s="25">
        <f t="shared" si="5"/>
        <v>0</v>
      </c>
      <c r="AU42" s="29">
        <f t="shared" si="85"/>
        <v>0</v>
      </c>
      <c r="AV42" s="27">
        <f t="shared" si="40"/>
        <v>0</v>
      </c>
      <c r="AW42" s="27">
        <f t="shared" si="41"/>
        <v>0</v>
      </c>
      <c r="AX42" s="27">
        <f t="shared" si="42"/>
        <v>0</v>
      </c>
      <c r="AY42" s="27">
        <f t="shared" si="43"/>
        <v>0</v>
      </c>
      <c r="AZ42" s="2" t="str">
        <f t="shared" si="93"/>
        <v/>
      </c>
      <c r="BA42" s="2" t="str">
        <f t="shared" si="94"/>
        <v/>
      </c>
      <c r="BB42" s="2" t="str">
        <f t="shared" si="95"/>
        <v/>
      </c>
      <c r="BC42" s="2" t="str">
        <f t="shared" si="96"/>
        <v/>
      </c>
      <c r="BD42" s="2" t="str">
        <f t="shared" si="97"/>
        <v/>
      </c>
      <c r="BE42" s="2" t="str">
        <f t="shared" si="98"/>
        <v/>
      </c>
      <c r="BF42" s="2" t="str">
        <f t="shared" si="99"/>
        <v/>
      </c>
      <c r="BG42" s="2" t="str">
        <f t="shared" si="100"/>
        <v/>
      </c>
      <c r="BH42" s="2">
        <f t="shared" si="51"/>
        <v>0</v>
      </c>
      <c r="BI42" s="298" t="str">
        <f t="shared" si="87"/>
        <v/>
      </c>
      <c r="BJ42" s="298" t="str">
        <f t="shared" si="52"/>
        <v/>
      </c>
      <c r="BQ42" s="4">
        <f t="shared" si="55"/>
        <v>45146</v>
      </c>
      <c r="BR42" s="112">
        <f t="shared" si="56"/>
        <v>0</v>
      </c>
      <c r="BS42" s="112">
        <f t="shared" si="57"/>
        <v>0</v>
      </c>
      <c r="BT42" s="112">
        <f t="shared" si="58"/>
        <v>0</v>
      </c>
      <c r="BU42" s="112">
        <f t="shared" si="59"/>
        <v>0</v>
      </c>
      <c r="BV42" s="112">
        <f t="shared" si="60"/>
        <v>0</v>
      </c>
      <c r="BX42" s="4"/>
      <c r="BY42" s="4"/>
      <c r="CI42" s="4">
        <f t="shared" si="65"/>
        <v>45146</v>
      </c>
      <c r="CJ42" s="50">
        <f ca="1">IF($BH42=0,IF($CO42="",CJ41+R42,IF('283'!$K$251=1,VLOOKUP($CO42,PerStBal,2)+R42,IF('283'!$K$253=1,(VLOOKUP($CO42,PerPortion,2)*VLOOKUP($CO42,PerStBal,6))+R42,GL!BS42))),0)</f>
        <v>0</v>
      </c>
      <c r="CK42" s="425">
        <f ca="1">IF($BH42=0,IF($CO42="",CK41+T42,IF('283'!$K$251=1,IF(mname2&lt;&gt;"",VLOOKUP($CO42,PerStBal,3)+T42,0),IF('283'!$K$253=1,(VLOOKUP($CO42,PerPortion,3)*VLOOKUP($CO42,PerStBal,6))+T42,GL!BT42))),0)</f>
        <v>0</v>
      </c>
      <c r="CL42" s="425">
        <f ca="1">IF($BH42=0,IF($CO42="",CL41+V42,IF('283'!$K$251=1,IF(mname3&lt;&gt;"",VLOOKUP($CO42,PerStBal,4)+V42,0),IF('283'!$K$253=1,(VLOOKUP($CO42,PerPortion,4)*VLOOKUP($CO42,PerStBal,6))+V42,GL!BU42))),0)</f>
        <v>0</v>
      </c>
      <c r="CM42" s="425">
        <f ca="1">IF($BH42=0,IF($CO42="",CM41+X42,IF('283'!$K$251=1,IF(mname4&lt;&gt;"",VLOOKUP($CO42,PerStBal,5)+X42,0),IF('283'!$K$253=1,(VLOOKUP($CO42,PerPortion,5)*VLOOKUP($CO42,PerStBal,6))+X42,GL!BV42))),0)</f>
        <v>0</v>
      </c>
      <c r="CN42" s="50">
        <f t="shared" ca="1" si="66"/>
        <v>0</v>
      </c>
      <c r="CO42" s="4" t="str">
        <f t="shared" ca="1" si="67"/>
        <v/>
      </c>
      <c r="CP42" s="377">
        <f t="shared" si="7"/>
        <v>0</v>
      </c>
      <c r="DI42" s="4">
        <f t="shared" si="70"/>
        <v>45146</v>
      </c>
      <c r="DJ42" s="112">
        <f t="shared" ca="1" si="71"/>
        <v>0</v>
      </c>
      <c r="DK42" s="112">
        <f t="shared" si="72"/>
        <v>0</v>
      </c>
      <c r="DL42" s="4">
        <f t="shared" si="73"/>
        <v>45146</v>
      </c>
      <c r="DM42" s="112">
        <f t="shared" ca="1" si="74"/>
        <v>0</v>
      </c>
      <c r="DN42" s="112">
        <f t="shared" si="75"/>
        <v>0</v>
      </c>
      <c r="DO42" s="4">
        <f t="shared" si="76"/>
        <v>45146</v>
      </c>
      <c r="DP42" s="112">
        <f t="shared" ca="1" si="77"/>
        <v>0</v>
      </c>
      <c r="DQ42" s="112">
        <f t="shared" si="78"/>
        <v>0</v>
      </c>
      <c r="DR42" s="4">
        <f t="shared" si="79"/>
        <v>45146</v>
      </c>
      <c r="DS42" s="112">
        <f t="shared" ca="1" si="80"/>
        <v>0</v>
      </c>
      <c r="DT42" s="112">
        <f t="shared" si="81"/>
        <v>0</v>
      </c>
      <c r="DU42" s="4">
        <f t="shared" si="82"/>
        <v>45146</v>
      </c>
      <c r="DV42" s="112">
        <f t="shared" si="83"/>
        <v>0</v>
      </c>
      <c r="DW42" s="112">
        <f t="shared" si="84"/>
        <v>0</v>
      </c>
    </row>
    <row r="43" spans="2:127" x14ac:dyDescent="0.25">
      <c r="B43" s="39" t="str">
        <f>IF(LEFT('283'!B150,1)="R","Benefits Paid","")</f>
        <v/>
      </c>
      <c r="C43" s="3" t="str">
        <f>IF(B43&lt;&gt;"",IF('283'!C150&lt;&gt;"",'283'!C150,""),"")</f>
        <v/>
      </c>
      <c r="D43" s="40" t="str">
        <f>IF($B43&lt;&gt;"",IF('283'!D150&lt;&gt;"",'283'!D150,""),"")</f>
        <v/>
      </c>
      <c r="E43" s="40" t="str">
        <f>IF($B43&lt;&gt;"",IF('283'!E150&lt;&gt;"",'283'!E150,""),"")</f>
        <v/>
      </c>
      <c r="F43" s="40" t="str">
        <f>IF($B43&lt;&gt;"",IF('283'!F150&lt;&gt;"",'283'!F150,""),"")</f>
        <v/>
      </c>
      <c r="G43" s="41" t="str">
        <f>IF($B43&lt;&gt;"",IF('283'!G150&lt;&gt;"",'283'!G150,""),"")</f>
        <v/>
      </c>
      <c r="H43" s="23">
        <v>39</v>
      </c>
      <c r="I43" s="42" t="str">
        <f>IF(AND(LEFT('283'!B150,1)&lt;&gt;"R",LEFT('283'!B150,1)&lt;&gt;""),'283'!B150,"")</f>
        <v/>
      </c>
      <c r="J43" s="3" t="str">
        <f>IF(I43&lt;&gt;"",IF('283'!C150&lt;&gt;"",'283'!C150,""),"")</f>
        <v/>
      </c>
      <c r="K43" s="40" t="str">
        <f>IF($I43&lt;&gt;"",IF('283'!D150&lt;&gt;"",IF(LEFT($I43,1)="N",-'283'!D150,'283'!D150),""),"")</f>
        <v/>
      </c>
      <c r="L43" s="40" t="str">
        <f>IF($I43&lt;&gt;"",IF('283'!E150&lt;&gt;"",IF(LEFT($I43,1)="N",-'283'!E150,'283'!E150),""),"")</f>
        <v/>
      </c>
      <c r="M43" s="40" t="str">
        <f>IF($I43&lt;&gt;"",IF('283'!F150&lt;&gt;"",IF(LEFT($I43,1)="N",-'283'!F150,'283'!F150),""),"")</f>
        <v/>
      </c>
      <c r="N43" s="40" t="str">
        <f>IF($I43&lt;&gt;"",IF('283'!G150&lt;&gt;"",IF(LEFT($I43,1)="N",-'283'!G150,'283'!G150),""),"")</f>
        <v/>
      </c>
      <c r="O43" s="43"/>
      <c r="P43" s="38"/>
      <c r="Q43" s="4">
        <f t="shared" si="16"/>
        <v>45147</v>
      </c>
      <c r="R43" s="24">
        <f t="shared" si="17"/>
        <v>0</v>
      </c>
      <c r="S43" s="25">
        <f t="shared" si="18"/>
        <v>0</v>
      </c>
      <c r="T43" s="24">
        <f t="shared" si="19"/>
        <v>0</v>
      </c>
      <c r="U43" s="25">
        <f t="shared" si="20"/>
        <v>0</v>
      </c>
      <c r="V43" s="24">
        <f t="shared" si="21"/>
        <v>0</v>
      </c>
      <c r="W43" s="25">
        <f t="shared" si="22"/>
        <v>0</v>
      </c>
      <c r="X43" s="24">
        <f t="shared" si="23"/>
        <v>0</v>
      </c>
      <c r="Y43" s="26">
        <f t="shared" si="24"/>
        <v>0</v>
      </c>
      <c r="Z43" s="27">
        <f t="shared" si="25"/>
        <v>0</v>
      </c>
      <c r="AA43" s="28">
        <f t="shared" si="26"/>
        <v>45147</v>
      </c>
      <c r="AB43" s="24">
        <f t="shared" si="27"/>
        <v>0</v>
      </c>
      <c r="AC43" s="25">
        <f t="shared" si="28"/>
        <v>0</v>
      </c>
      <c r="AD43" s="28">
        <f t="shared" si="29"/>
        <v>45147</v>
      </c>
      <c r="AE43" s="24">
        <f t="shared" si="30"/>
        <v>0</v>
      </c>
      <c r="AF43" s="25">
        <f t="shared" si="31"/>
        <v>0</v>
      </c>
      <c r="AG43" s="28">
        <f t="shared" si="32"/>
        <v>45147</v>
      </c>
      <c r="AH43" s="24">
        <f t="shared" si="33"/>
        <v>0</v>
      </c>
      <c r="AI43" s="25">
        <f t="shared" si="34"/>
        <v>0</v>
      </c>
      <c r="AJ43" s="28">
        <f t="shared" si="35"/>
        <v>45147</v>
      </c>
      <c r="AK43" s="24">
        <f t="shared" si="36"/>
        <v>0</v>
      </c>
      <c r="AL43" s="25">
        <f t="shared" si="37"/>
        <v>0</v>
      </c>
      <c r="AM43" s="29">
        <f t="shared" si="38"/>
        <v>0</v>
      </c>
      <c r="AN43" s="28">
        <f t="shared" si="39"/>
        <v>45147</v>
      </c>
      <c r="AO43" s="373">
        <f t="shared" si="0"/>
        <v>0</v>
      </c>
      <c r="AP43" s="374">
        <f t="shared" si="1"/>
        <v>0</v>
      </c>
      <c r="AQ43" s="27">
        <f t="shared" si="2"/>
        <v>0</v>
      </c>
      <c r="AR43" s="25">
        <f t="shared" si="3"/>
        <v>0</v>
      </c>
      <c r="AS43" s="25">
        <f t="shared" si="4"/>
        <v>0</v>
      </c>
      <c r="AT43" s="25">
        <f t="shared" si="5"/>
        <v>0</v>
      </c>
      <c r="AU43" s="29">
        <f t="shared" si="85"/>
        <v>0</v>
      </c>
      <c r="AV43" s="27">
        <f t="shared" si="40"/>
        <v>0</v>
      </c>
      <c r="AW43" s="27">
        <f t="shared" si="41"/>
        <v>0</v>
      </c>
      <c r="AX43" s="27">
        <f t="shared" si="42"/>
        <v>0</v>
      </c>
      <c r="AY43" s="27">
        <f t="shared" si="43"/>
        <v>0</v>
      </c>
      <c r="AZ43" s="2" t="str">
        <f t="shared" si="93"/>
        <v/>
      </c>
      <c r="BA43" s="2" t="str">
        <f t="shared" si="94"/>
        <v/>
      </c>
      <c r="BB43" s="2" t="str">
        <f t="shared" si="95"/>
        <v/>
      </c>
      <c r="BC43" s="2" t="str">
        <f t="shared" si="96"/>
        <v/>
      </c>
      <c r="BD43" s="2" t="str">
        <f t="shared" si="97"/>
        <v/>
      </c>
      <c r="BE43" s="2" t="str">
        <f t="shared" si="98"/>
        <v/>
      </c>
      <c r="BF43" s="2" t="str">
        <f t="shared" si="99"/>
        <v/>
      </c>
      <c r="BG43" s="2" t="str">
        <f t="shared" si="100"/>
        <v/>
      </c>
      <c r="BH43" s="2">
        <f t="shared" si="51"/>
        <v>0</v>
      </c>
      <c r="BI43" s="298" t="str">
        <f t="shared" si="87"/>
        <v/>
      </c>
      <c r="BJ43" s="298" t="str">
        <f t="shared" si="52"/>
        <v/>
      </c>
      <c r="BQ43" s="4">
        <f t="shared" si="55"/>
        <v>45147</v>
      </c>
      <c r="BR43" s="112">
        <f t="shared" si="56"/>
        <v>0</v>
      </c>
      <c r="BS43" s="112">
        <f t="shared" si="57"/>
        <v>0</v>
      </c>
      <c r="BT43" s="112">
        <f t="shared" si="58"/>
        <v>0</v>
      </c>
      <c r="BU43" s="112">
        <f t="shared" si="59"/>
        <v>0</v>
      </c>
      <c r="BV43" s="112">
        <f t="shared" si="60"/>
        <v>0</v>
      </c>
      <c r="BX43" s="4"/>
      <c r="BY43" s="4"/>
      <c r="CI43" s="4">
        <f t="shared" si="65"/>
        <v>45147</v>
      </c>
      <c r="CJ43" s="50">
        <f ca="1">IF($BH43=0,IF($CO43="",CJ42+R43,IF('283'!$K$251=1,VLOOKUP($CO43,PerStBal,2)+R43,IF('283'!$K$253=1,(VLOOKUP($CO43,PerPortion,2)*VLOOKUP($CO43,PerStBal,6))+R43,GL!BS43))),0)</f>
        <v>0</v>
      </c>
      <c r="CK43" s="425">
        <f ca="1">IF($BH43=0,IF($CO43="",CK42+T43,IF('283'!$K$251=1,IF(mname2&lt;&gt;"",VLOOKUP($CO43,PerStBal,3)+T43,0),IF('283'!$K$253=1,(VLOOKUP($CO43,PerPortion,3)*VLOOKUP($CO43,PerStBal,6))+T43,GL!BT43))),0)</f>
        <v>0</v>
      </c>
      <c r="CL43" s="425">
        <f ca="1">IF($BH43=0,IF($CO43="",CL42+V43,IF('283'!$K$251=1,IF(mname3&lt;&gt;"",VLOOKUP($CO43,PerStBal,4)+V43,0),IF('283'!$K$253=1,(VLOOKUP($CO43,PerPortion,4)*VLOOKUP($CO43,PerStBal,6))+V43,GL!BU43))),0)</f>
        <v>0</v>
      </c>
      <c r="CM43" s="425">
        <f ca="1">IF($BH43=0,IF($CO43="",CM42+X43,IF('283'!$K$251=1,IF(mname4&lt;&gt;"",VLOOKUP($CO43,PerStBal,5)+X43,0),IF('283'!$K$253=1,(VLOOKUP($CO43,PerPortion,5)*VLOOKUP($CO43,PerStBal,6))+X43,GL!BV43))),0)</f>
        <v>0</v>
      </c>
      <c r="CN43" s="50">
        <f t="shared" ca="1" si="66"/>
        <v>0</v>
      </c>
      <c r="CO43" s="4" t="str">
        <f t="shared" ca="1" si="67"/>
        <v/>
      </c>
      <c r="CP43" s="377">
        <f t="shared" si="7"/>
        <v>0</v>
      </c>
      <c r="DI43" s="4">
        <f t="shared" si="70"/>
        <v>45147</v>
      </c>
      <c r="DJ43" s="112">
        <f t="shared" ca="1" si="71"/>
        <v>0</v>
      </c>
      <c r="DK43" s="112">
        <f t="shared" si="72"/>
        <v>0</v>
      </c>
      <c r="DL43" s="4">
        <f t="shared" si="73"/>
        <v>45147</v>
      </c>
      <c r="DM43" s="112">
        <f t="shared" ca="1" si="74"/>
        <v>0</v>
      </c>
      <c r="DN43" s="112">
        <f t="shared" si="75"/>
        <v>0</v>
      </c>
      <c r="DO43" s="4">
        <f t="shared" si="76"/>
        <v>45147</v>
      </c>
      <c r="DP43" s="112">
        <f t="shared" ca="1" si="77"/>
        <v>0</v>
      </c>
      <c r="DQ43" s="112">
        <f t="shared" si="78"/>
        <v>0</v>
      </c>
      <c r="DR43" s="4">
        <f t="shared" si="79"/>
        <v>45147</v>
      </c>
      <c r="DS43" s="112">
        <f t="shared" ca="1" si="80"/>
        <v>0</v>
      </c>
      <c r="DT43" s="112">
        <f t="shared" si="81"/>
        <v>0</v>
      </c>
      <c r="DU43" s="4">
        <f t="shared" si="82"/>
        <v>45147</v>
      </c>
      <c r="DV43" s="112">
        <f t="shared" si="83"/>
        <v>0</v>
      </c>
      <c r="DW43" s="112">
        <f t="shared" si="84"/>
        <v>0</v>
      </c>
    </row>
    <row r="44" spans="2:127" x14ac:dyDescent="0.25">
      <c r="B44" s="39" t="str">
        <f>IF(LEFT('283'!B151,1)="R","Benefits Paid","")</f>
        <v/>
      </c>
      <c r="C44" s="3" t="str">
        <f>IF(B44&lt;&gt;"",IF('283'!C151&lt;&gt;"",'283'!C151,""),"")</f>
        <v/>
      </c>
      <c r="D44" s="40" t="str">
        <f>IF($B44&lt;&gt;"",IF('283'!D151&lt;&gt;"",'283'!D151,""),"")</f>
        <v/>
      </c>
      <c r="E44" s="40" t="str">
        <f>IF($B44&lt;&gt;"",IF('283'!E151&lt;&gt;"",'283'!E151,""),"")</f>
        <v/>
      </c>
      <c r="F44" s="40" t="str">
        <f>IF($B44&lt;&gt;"",IF('283'!F151&lt;&gt;"",'283'!F151,""),"")</f>
        <v/>
      </c>
      <c r="G44" s="41" t="str">
        <f>IF($B44&lt;&gt;"",IF('283'!G151&lt;&gt;"",'283'!G151,""),"")</f>
        <v/>
      </c>
      <c r="H44" s="23">
        <v>40</v>
      </c>
      <c r="I44" s="42" t="str">
        <f>IF(AND(LEFT('283'!B151,1)&lt;&gt;"R",LEFT('283'!B151,1)&lt;&gt;""),'283'!B151,"")</f>
        <v/>
      </c>
      <c r="J44" s="3" t="str">
        <f>IF(I44&lt;&gt;"",IF('283'!C151&lt;&gt;"",'283'!C151,""),"")</f>
        <v/>
      </c>
      <c r="K44" s="40" t="str">
        <f>IF($I44&lt;&gt;"",IF('283'!D151&lt;&gt;"",IF(LEFT($I44,1)="N",-'283'!D151,'283'!D151),""),"")</f>
        <v/>
      </c>
      <c r="L44" s="40" t="str">
        <f>IF($I44&lt;&gt;"",IF('283'!E151&lt;&gt;"",IF(LEFT($I44,1)="N",-'283'!E151,'283'!E151),""),"")</f>
        <v/>
      </c>
      <c r="M44" s="40" t="str">
        <f>IF($I44&lt;&gt;"",IF('283'!F151&lt;&gt;"",IF(LEFT($I44,1)="N",-'283'!F151,'283'!F151),""),"")</f>
        <v/>
      </c>
      <c r="N44" s="40" t="str">
        <f>IF($I44&lt;&gt;"",IF('283'!G151&lt;&gt;"",IF(LEFT($I44,1)="N",-'283'!G151,'283'!G151),""),"")</f>
        <v/>
      </c>
      <c r="O44" s="43"/>
      <c r="P44" s="38"/>
      <c r="Q44" s="4">
        <f t="shared" si="16"/>
        <v>45148</v>
      </c>
      <c r="R44" s="24">
        <f t="shared" si="17"/>
        <v>0</v>
      </c>
      <c r="S44" s="25">
        <f t="shared" si="18"/>
        <v>0</v>
      </c>
      <c r="T44" s="24">
        <f t="shared" si="19"/>
        <v>0</v>
      </c>
      <c r="U44" s="25">
        <f t="shared" si="20"/>
        <v>0</v>
      </c>
      <c r="V44" s="24">
        <f t="shared" si="21"/>
        <v>0</v>
      </c>
      <c r="W44" s="25">
        <f t="shared" si="22"/>
        <v>0</v>
      </c>
      <c r="X44" s="24">
        <f t="shared" si="23"/>
        <v>0</v>
      </c>
      <c r="Y44" s="26">
        <f t="shared" si="24"/>
        <v>0</v>
      </c>
      <c r="Z44" s="27">
        <f t="shared" si="25"/>
        <v>0</v>
      </c>
      <c r="AA44" s="28">
        <f t="shared" si="26"/>
        <v>45148</v>
      </c>
      <c r="AB44" s="24">
        <f t="shared" si="27"/>
        <v>0</v>
      </c>
      <c r="AC44" s="25">
        <f t="shared" si="28"/>
        <v>0</v>
      </c>
      <c r="AD44" s="28">
        <f t="shared" si="29"/>
        <v>45148</v>
      </c>
      <c r="AE44" s="24">
        <f t="shared" si="30"/>
        <v>0</v>
      </c>
      <c r="AF44" s="25">
        <f t="shared" si="31"/>
        <v>0</v>
      </c>
      <c r="AG44" s="28">
        <f t="shared" si="32"/>
        <v>45148</v>
      </c>
      <c r="AH44" s="24">
        <f t="shared" si="33"/>
        <v>0</v>
      </c>
      <c r="AI44" s="25">
        <f t="shared" si="34"/>
        <v>0</v>
      </c>
      <c r="AJ44" s="28">
        <f t="shared" si="35"/>
        <v>45148</v>
      </c>
      <c r="AK44" s="24">
        <f t="shared" si="36"/>
        <v>0</v>
      </c>
      <c r="AL44" s="25">
        <f t="shared" si="37"/>
        <v>0</v>
      </c>
      <c r="AM44" s="29">
        <f t="shared" si="38"/>
        <v>0</v>
      </c>
      <c r="AN44" s="28">
        <f t="shared" si="39"/>
        <v>45148</v>
      </c>
      <c r="AO44" s="373">
        <f t="shared" si="0"/>
        <v>0</v>
      </c>
      <c r="AP44" s="374">
        <f t="shared" si="1"/>
        <v>0</v>
      </c>
      <c r="AQ44" s="27">
        <f t="shared" si="2"/>
        <v>0</v>
      </c>
      <c r="AR44" s="25">
        <f t="shared" si="3"/>
        <v>0</v>
      </c>
      <c r="AS44" s="25">
        <f t="shared" si="4"/>
        <v>0</v>
      </c>
      <c r="AT44" s="25">
        <f t="shared" si="5"/>
        <v>0</v>
      </c>
      <c r="AU44" s="29">
        <f t="shared" si="85"/>
        <v>0</v>
      </c>
      <c r="AV44" s="27">
        <f t="shared" si="40"/>
        <v>0</v>
      </c>
      <c r="AW44" s="27">
        <f t="shared" si="41"/>
        <v>0</v>
      </c>
      <c r="AX44" s="27">
        <f t="shared" si="42"/>
        <v>0</v>
      </c>
      <c r="AY44" s="27">
        <f t="shared" si="43"/>
        <v>0</v>
      </c>
      <c r="AZ44" s="2" t="str">
        <f t="shared" si="93"/>
        <v/>
      </c>
      <c r="BA44" s="2" t="str">
        <f t="shared" si="94"/>
        <v/>
      </c>
      <c r="BB44" s="2" t="str">
        <f t="shared" si="95"/>
        <v/>
      </c>
      <c r="BC44" s="2" t="str">
        <f t="shared" si="96"/>
        <v/>
      </c>
      <c r="BD44" s="2" t="str">
        <f t="shared" si="97"/>
        <v/>
      </c>
      <c r="BE44" s="2" t="str">
        <f t="shared" si="98"/>
        <v/>
      </c>
      <c r="BF44" s="2" t="str">
        <f t="shared" si="99"/>
        <v/>
      </c>
      <c r="BG44" s="2" t="str">
        <f t="shared" si="100"/>
        <v/>
      </c>
      <c r="BH44" s="2">
        <f t="shared" si="51"/>
        <v>0</v>
      </c>
      <c r="BI44" s="298" t="str">
        <f t="shared" si="87"/>
        <v/>
      </c>
      <c r="BJ44" s="298" t="str">
        <f t="shared" si="52"/>
        <v/>
      </c>
      <c r="BQ44" s="4">
        <f t="shared" si="55"/>
        <v>45148</v>
      </c>
      <c r="BR44" s="112">
        <f t="shared" si="56"/>
        <v>0</v>
      </c>
      <c r="BS44" s="112">
        <f t="shared" si="57"/>
        <v>0</v>
      </c>
      <c r="BT44" s="112">
        <f t="shared" si="58"/>
        <v>0</v>
      </c>
      <c r="BU44" s="112">
        <f t="shared" si="59"/>
        <v>0</v>
      </c>
      <c r="BV44" s="112">
        <f t="shared" si="60"/>
        <v>0</v>
      </c>
      <c r="BX44" s="4"/>
      <c r="BY44" s="4"/>
      <c r="CI44" s="4">
        <f t="shared" si="65"/>
        <v>45148</v>
      </c>
      <c r="CJ44" s="50">
        <f ca="1">IF($BH44=0,IF($CO44="",CJ43+R44,IF('283'!$K$251=1,VLOOKUP($CO44,PerStBal,2)+R44,IF('283'!$K$253=1,(VLOOKUP($CO44,PerPortion,2)*VLOOKUP($CO44,PerStBal,6))+R44,GL!BS44))),0)</f>
        <v>0</v>
      </c>
      <c r="CK44" s="425">
        <f ca="1">IF($BH44=0,IF($CO44="",CK43+T44,IF('283'!$K$251=1,IF(mname2&lt;&gt;"",VLOOKUP($CO44,PerStBal,3)+T44,0),IF('283'!$K$253=1,(VLOOKUP($CO44,PerPortion,3)*VLOOKUP($CO44,PerStBal,6))+T44,GL!BT44))),0)</f>
        <v>0</v>
      </c>
      <c r="CL44" s="425">
        <f ca="1">IF($BH44=0,IF($CO44="",CL43+V44,IF('283'!$K$251=1,IF(mname3&lt;&gt;"",VLOOKUP($CO44,PerStBal,4)+V44,0),IF('283'!$K$253=1,(VLOOKUP($CO44,PerPortion,4)*VLOOKUP($CO44,PerStBal,6))+V44,GL!BU44))),0)</f>
        <v>0</v>
      </c>
      <c r="CM44" s="425">
        <f ca="1">IF($BH44=0,IF($CO44="",CM43+X44,IF('283'!$K$251=1,IF(mname4&lt;&gt;"",VLOOKUP($CO44,PerStBal,5)+X44,0),IF('283'!$K$253=1,(VLOOKUP($CO44,PerPortion,5)*VLOOKUP($CO44,PerStBal,6))+X44,GL!BV44))),0)</f>
        <v>0</v>
      </c>
      <c r="CN44" s="50">
        <f t="shared" ca="1" si="66"/>
        <v>0</v>
      </c>
      <c r="CO44" s="4" t="str">
        <f t="shared" ca="1" si="67"/>
        <v/>
      </c>
      <c r="CP44" s="377">
        <f t="shared" si="7"/>
        <v>0</v>
      </c>
      <c r="DI44" s="4">
        <f t="shared" si="70"/>
        <v>45148</v>
      </c>
      <c r="DJ44" s="112">
        <f t="shared" ca="1" si="71"/>
        <v>0</v>
      </c>
      <c r="DK44" s="112">
        <f t="shared" si="72"/>
        <v>0</v>
      </c>
      <c r="DL44" s="4">
        <f t="shared" si="73"/>
        <v>45148</v>
      </c>
      <c r="DM44" s="112">
        <f t="shared" ca="1" si="74"/>
        <v>0</v>
      </c>
      <c r="DN44" s="112">
        <f t="shared" si="75"/>
        <v>0</v>
      </c>
      <c r="DO44" s="4">
        <f t="shared" si="76"/>
        <v>45148</v>
      </c>
      <c r="DP44" s="112">
        <f t="shared" ca="1" si="77"/>
        <v>0</v>
      </c>
      <c r="DQ44" s="112">
        <f t="shared" si="78"/>
        <v>0</v>
      </c>
      <c r="DR44" s="4">
        <f t="shared" si="79"/>
        <v>45148</v>
      </c>
      <c r="DS44" s="112">
        <f t="shared" ca="1" si="80"/>
        <v>0</v>
      </c>
      <c r="DT44" s="112">
        <f t="shared" si="81"/>
        <v>0</v>
      </c>
      <c r="DU44" s="4">
        <f t="shared" si="82"/>
        <v>45148</v>
      </c>
      <c r="DV44" s="112">
        <f t="shared" si="83"/>
        <v>0</v>
      </c>
      <c r="DW44" s="112">
        <f t="shared" si="84"/>
        <v>0</v>
      </c>
    </row>
    <row r="45" spans="2:127" x14ac:dyDescent="0.25">
      <c r="B45" s="39" t="str">
        <f>IF(LEFT('283'!B152,1)="R","Benefits Paid","")</f>
        <v/>
      </c>
      <c r="C45" s="3" t="str">
        <f>IF(B45&lt;&gt;"",IF('283'!C152&lt;&gt;"",'283'!C152,""),"")</f>
        <v/>
      </c>
      <c r="D45" s="40" t="str">
        <f>IF($B45&lt;&gt;"",IF('283'!D152&lt;&gt;"",'283'!D152,""),"")</f>
        <v/>
      </c>
      <c r="E45" s="40" t="str">
        <f>IF($B45&lt;&gt;"",IF('283'!E152&lt;&gt;"",'283'!E152,""),"")</f>
        <v/>
      </c>
      <c r="F45" s="40" t="str">
        <f>IF($B45&lt;&gt;"",IF('283'!F152&lt;&gt;"",'283'!F152,""),"")</f>
        <v/>
      </c>
      <c r="G45" s="41" t="str">
        <f>IF($B45&lt;&gt;"",IF('283'!G152&lt;&gt;"",'283'!G152,""),"")</f>
        <v/>
      </c>
      <c r="H45" s="23">
        <v>41</v>
      </c>
      <c r="I45" s="42" t="str">
        <f>IF(AND(LEFT('283'!B152,1)&lt;&gt;"R",LEFT('283'!B152,1)&lt;&gt;""),'283'!B152,"")</f>
        <v/>
      </c>
      <c r="J45" s="3" t="str">
        <f>IF(I45&lt;&gt;"",IF('283'!C152&lt;&gt;"",'283'!C152,""),"")</f>
        <v/>
      </c>
      <c r="K45" s="40" t="str">
        <f>IF($I45&lt;&gt;"",IF('283'!D152&lt;&gt;"",IF(LEFT($I45,1)="N",-'283'!D152,'283'!D152),""),"")</f>
        <v/>
      </c>
      <c r="L45" s="40" t="str">
        <f>IF($I45&lt;&gt;"",IF('283'!E152&lt;&gt;"",IF(LEFT($I45,1)="N",-'283'!E152,'283'!E152),""),"")</f>
        <v/>
      </c>
      <c r="M45" s="40" t="str">
        <f>IF($I45&lt;&gt;"",IF('283'!F152&lt;&gt;"",IF(LEFT($I45,1)="N",-'283'!F152,'283'!F152),""),"")</f>
        <v/>
      </c>
      <c r="N45" s="40" t="str">
        <f>IF($I45&lt;&gt;"",IF('283'!G152&lt;&gt;"",IF(LEFT($I45,1)="N",-'283'!G152,'283'!G152),""),"")</f>
        <v/>
      </c>
      <c r="O45" s="43"/>
      <c r="P45" s="38"/>
      <c r="Q45" s="4">
        <f t="shared" si="16"/>
        <v>45149</v>
      </c>
      <c r="R45" s="24">
        <f t="shared" si="17"/>
        <v>0</v>
      </c>
      <c r="S45" s="25">
        <f t="shared" si="18"/>
        <v>0</v>
      </c>
      <c r="T45" s="24">
        <f t="shared" si="19"/>
        <v>0</v>
      </c>
      <c r="U45" s="25">
        <f t="shared" si="20"/>
        <v>0</v>
      </c>
      <c r="V45" s="24">
        <f t="shared" si="21"/>
        <v>0</v>
      </c>
      <c r="W45" s="25">
        <f t="shared" si="22"/>
        <v>0</v>
      </c>
      <c r="X45" s="24">
        <f t="shared" si="23"/>
        <v>0</v>
      </c>
      <c r="Y45" s="26">
        <f t="shared" si="24"/>
        <v>0</v>
      </c>
      <c r="Z45" s="27">
        <f t="shared" si="25"/>
        <v>0</v>
      </c>
      <c r="AA45" s="28">
        <f t="shared" si="26"/>
        <v>45149</v>
      </c>
      <c r="AB45" s="24">
        <f t="shared" si="27"/>
        <v>0</v>
      </c>
      <c r="AC45" s="25">
        <f t="shared" si="28"/>
        <v>0</v>
      </c>
      <c r="AD45" s="28">
        <f t="shared" si="29"/>
        <v>45149</v>
      </c>
      <c r="AE45" s="24">
        <f t="shared" si="30"/>
        <v>0</v>
      </c>
      <c r="AF45" s="25">
        <f t="shared" si="31"/>
        <v>0</v>
      </c>
      <c r="AG45" s="28">
        <f t="shared" si="32"/>
        <v>45149</v>
      </c>
      <c r="AH45" s="24">
        <f t="shared" si="33"/>
        <v>0</v>
      </c>
      <c r="AI45" s="25">
        <f t="shared" si="34"/>
        <v>0</v>
      </c>
      <c r="AJ45" s="28">
        <f t="shared" si="35"/>
        <v>45149</v>
      </c>
      <c r="AK45" s="24">
        <f t="shared" si="36"/>
        <v>0</v>
      </c>
      <c r="AL45" s="25">
        <f t="shared" si="37"/>
        <v>0</v>
      </c>
      <c r="AM45" s="29">
        <f t="shared" si="38"/>
        <v>0</v>
      </c>
      <c r="AN45" s="28">
        <f t="shared" si="39"/>
        <v>45149</v>
      </c>
      <c r="AO45" s="373">
        <f t="shared" si="0"/>
        <v>0</v>
      </c>
      <c r="AP45" s="374">
        <f t="shared" si="1"/>
        <v>0</v>
      </c>
      <c r="AQ45" s="27">
        <f t="shared" si="2"/>
        <v>0</v>
      </c>
      <c r="AR45" s="25">
        <f t="shared" si="3"/>
        <v>0</v>
      </c>
      <c r="AS45" s="25">
        <f t="shared" si="4"/>
        <v>0</v>
      </c>
      <c r="AT45" s="25">
        <f t="shared" si="5"/>
        <v>0</v>
      </c>
      <c r="AU45" s="29">
        <f t="shared" si="85"/>
        <v>0</v>
      </c>
      <c r="AV45" s="27">
        <f t="shared" si="40"/>
        <v>0</v>
      </c>
      <c r="AW45" s="27">
        <f t="shared" si="41"/>
        <v>0</v>
      </c>
      <c r="AX45" s="27">
        <f t="shared" si="42"/>
        <v>0</v>
      </c>
      <c r="AY45" s="27">
        <f t="shared" si="43"/>
        <v>0</v>
      </c>
      <c r="AZ45" s="2" t="str">
        <f t="shared" si="93"/>
        <v/>
      </c>
      <c r="BA45" s="2" t="str">
        <f t="shared" si="94"/>
        <v/>
      </c>
      <c r="BB45" s="2" t="str">
        <f t="shared" si="95"/>
        <v/>
      </c>
      <c r="BC45" s="2" t="str">
        <f t="shared" si="96"/>
        <v/>
      </c>
      <c r="BD45" s="2" t="str">
        <f t="shared" si="97"/>
        <v/>
      </c>
      <c r="BE45" s="2" t="str">
        <f t="shared" si="98"/>
        <v/>
      </c>
      <c r="BF45" s="2" t="str">
        <f t="shared" si="99"/>
        <v/>
      </c>
      <c r="BG45" s="2" t="str">
        <f t="shared" si="100"/>
        <v/>
      </c>
      <c r="BH45" s="2">
        <f t="shared" si="51"/>
        <v>0</v>
      </c>
      <c r="BI45" s="298" t="str">
        <f t="shared" si="87"/>
        <v/>
      </c>
      <c r="BJ45" s="298" t="str">
        <f t="shared" si="52"/>
        <v/>
      </c>
      <c r="BQ45" s="4">
        <f t="shared" si="55"/>
        <v>45149</v>
      </c>
      <c r="BR45" s="112">
        <f t="shared" si="56"/>
        <v>0</v>
      </c>
      <c r="BS45" s="112">
        <f t="shared" si="57"/>
        <v>0</v>
      </c>
      <c r="BT45" s="112">
        <f t="shared" si="58"/>
        <v>0</v>
      </c>
      <c r="BU45" s="112">
        <f t="shared" si="59"/>
        <v>0</v>
      </c>
      <c r="BV45" s="112">
        <f t="shared" si="60"/>
        <v>0</v>
      </c>
      <c r="BX45" s="4"/>
      <c r="BY45" s="4"/>
      <c r="CI45" s="4">
        <f t="shared" si="65"/>
        <v>45149</v>
      </c>
      <c r="CJ45" s="50">
        <f ca="1">IF($BH45=0,IF($CO45="",CJ44+R45,IF('283'!$K$251=1,VLOOKUP($CO45,PerStBal,2)+R45,IF('283'!$K$253=1,(VLOOKUP($CO45,PerPortion,2)*VLOOKUP($CO45,PerStBal,6))+R45,GL!BS45))),0)</f>
        <v>0</v>
      </c>
      <c r="CK45" s="425">
        <f ca="1">IF($BH45=0,IF($CO45="",CK44+T45,IF('283'!$K$251=1,IF(mname2&lt;&gt;"",VLOOKUP($CO45,PerStBal,3)+T45,0),IF('283'!$K$253=1,(VLOOKUP($CO45,PerPortion,3)*VLOOKUP($CO45,PerStBal,6))+T45,GL!BT45))),0)</f>
        <v>0</v>
      </c>
      <c r="CL45" s="425">
        <f ca="1">IF($BH45=0,IF($CO45="",CL44+V45,IF('283'!$K$251=1,IF(mname3&lt;&gt;"",VLOOKUP($CO45,PerStBal,4)+V45,0),IF('283'!$K$253=1,(VLOOKUP($CO45,PerPortion,4)*VLOOKUP($CO45,PerStBal,6))+V45,GL!BU45))),0)</f>
        <v>0</v>
      </c>
      <c r="CM45" s="425">
        <f ca="1">IF($BH45=0,IF($CO45="",CM44+X45,IF('283'!$K$251=1,IF(mname4&lt;&gt;"",VLOOKUP($CO45,PerStBal,5)+X45,0),IF('283'!$K$253=1,(VLOOKUP($CO45,PerPortion,5)*VLOOKUP($CO45,PerStBal,6))+X45,GL!BV45))),0)</f>
        <v>0</v>
      </c>
      <c r="CN45" s="50">
        <f t="shared" ca="1" si="66"/>
        <v>0</v>
      </c>
      <c r="CO45" s="4" t="str">
        <f t="shared" ca="1" si="67"/>
        <v/>
      </c>
      <c r="CP45" s="377">
        <f t="shared" si="7"/>
        <v>0</v>
      </c>
      <c r="DI45" s="4">
        <f t="shared" si="70"/>
        <v>45149</v>
      </c>
      <c r="DJ45" s="112">
        <f t="shared" ca="1" si="71"/>
        <v>0</v>
      </c>
      <c r="DK45" s="112">
        <f t="shared" si="72"/>
        <v>0</v>
      </c>
      <c r="DL45" s="4">
        <f t="shared" si="73"/>
        <v>45149</v>
      </c>
      <c r="DM45" s="112">
        <f t="shared" ca="1" si="74"/>
        <v>0</v>
      </c>
      <c r="DN45" s="112">
        <f t="shared" si="75"/>
        <v>0</v>
      </c>
      <c r="DO45" s="4">
        <f t="shared" si="76"/>
        <v>45149</v>
      </c>
      <c r="DP45" s="112">
        <f t="shared" ca="1" si="77"/>
        <v>0</v>
      </c>
      <c r="DQ45" s="112">
        <f t="shared" si="78"/>
        <v>0</v>
      </c>
      <c r="DR45" s="4">
        <f t="shared" si="79"/>
        <v>45149</v>
      </c>
      <c r="DS45" s="112">
        <f t="shared" ca="1" si="80"/>
        <v>0</v>
      </c>
      <c r="DT45" s="112">
        <f t="shared" si="81"/>
        <v>0</v>
      </c>
      <c r="DU45" s="4">
        <f t="shared" si="82"/>
        <v>45149</v>
      </c>
      <c r="DV45" s="112">
        <f t="shared" si="83"/>
        <v>0</v>
      </c>
      <c r="DW45" s="112">
        <f t="shared" si="84"/>
        <v>0</v>
      </c>
    </row>
    <row r="46" spans="2:127" x14ac:dyDescent="0.25">
      <c r="B46" s="39" t="str">
        <f>IF(LEFT('283'!B153,1)="R","Benefits Paid","")</f>
        <v/>
      </c>
      <c r="C46" s="3" t="str">
        <f>IF(B46&lt;&gt;"",IF('283'!C153&lt;&gt;"",'283'!C153,""),"")</f>
        <v/>
      </c>
      <c r="D46" s="40" t="str">
        <f>IF($B46&lt;&gt;"",IF('283'!D153&lt;&gt;"",'283'!D153,""),"")</f>
        <v/>
      </c>
      <c r="E46" s="40" t="str">
        <f>IF($B46&lt;&gt;"",IF('283'!E153&lt;&gt;"",'283'!E153,""),"")</f>
        <v/>
      </c>
      <c r="F46" s="40" t="str">
        <f>IF($B46&lt;&gt;"",IF('283'!F153&lt;&gt;"",'283'!F153,""),"")</f>
        <v/>
      </c>
      <c r="G46" s="41" t="str">
        <f>IF($B46&lt;&gt;"",IF('283'!G153&lt;&gt;"",'283'!G153,""),"")</f>
        <v/>
      </c>
      <c r="H46" s="23">
        <v>42</v>
      </c>
      <c r="I46" s="42" t="str">
        <f>IF(AND(LEFT('283'!B153,1)&lt;&gt;"R",LEFT('283'!B153,1)&lt;&gt;""),'283'!B153,"")</f>
        <v/>
      </c>
      <c r="J46" s="3" t="str">
        <f>IF(I46&lt;&gt;"",IF('283'!C153&lt;&gt;"",'283'!C153,""),"")</f>
        <v/>
      </c>
      <c r="K46" s="40" t="str">
        <f>IF($I46&lt;&gt;"",IF('283'!D153&lt;&gt;"",IF(LEFT($I46,1)="N",-'283'!D153,'283'!D153),""),"")</f>
        <v/>
      </c>
      <c r="L46" s="40" t="str">
        <f>IF($I46&lt;&gt;"",IF('283'!E153&lt;&gt;"",IF(LEFT($I46,1)="N",-'283'!E153,'283'!E153),""),"")</f>
        <v/>
      </c>
      <c r="M46" s="40" t="str">
        <f>IF($I46&lt;&gt;"",IF('283'!F153&lt;&gt;"",IF(LEFT($I46,1)="N",-'283'!F153,'283'!F153),""),"")</f>
        <v/>
      </c>
      <c r="N46" s="40" t="str">
        <f>IF($I46&lt;&gt;"",IF('283'!G153&lt;&gt;"",IF(LEFT($I46,1)="N",-'283'!G153,'283'!G153),""),"")</f>
        <v/>
      </c>
      <c r="O46" s="43"/>
      <c r="P46" s="38"/>
      <c r="Q46" s="4">
        <f t="shared" si="16"/>
        <v>45150</v>
      </c>
      <c r="R46" s="24">
        <f t="shared" si="17"/>
        <v>0</v>
      </c>
      <c r="S46" s="25">
        <f t="shared" si="18"/>
        <v>0</v>
      </c>
      <c r="T46" s="24">
        <f t="shared" si="19"/>
        <v>0</v>
      </c>
      <c r="U46" s="25">
        <f t="shared" si="20"/>
        <v>0</v>
      </c>
      <c r="V46" s="24">
        <f t="shared" si="21"/>
        <v>0</v>
      </c>
      <c r="W46" s="25">
        <f t="shared" si="22"/>
        <v>0</v>
      </c>
      <c r="X46" s="24">
        <f t="shared" si="23"/>
        <v>0</v>
      </c>
      <c r="Y46" s="26">
        <f t="shared" si="24"/>
        <v>0</v>
      </c>
      <c r="Z46" s="27">
        <f t="shared" si="25"/>
        <v>0</v>
      </c>
      <c r="AA46" s="28">
        <f t="shared" si="26"/>
        <v>45150</v>
      </c>
      <c r="AB46" s="24">
        <f t="shared" si="27"/>
        <v>0</v>
      </c>
      <c r="AC46" s="25">
        <f t="shared" si="28"/>
        <v>0</v>
      </c>
      <c r="AD46" s="28">
        <f t="shared" si="29"/>
        <v>45150</v>
      </c>
      <c r="AE46" s="24">
        <f t="shared" si="30"/>
        <v>0</v>
      </c>
      <c r="AF46" s="25">
        <f t="shared" si="31"/>
        <v>0</v>
      </c>
      <c r="AG46" s="28">
        <f t="shared" si="32"/>
        <v>45150</v>
      </c>
      <c r="AH46" s="24">
        <f t="shared" si="33"/>
        <v>0</v>
      </c>
      <c r="AI46" s="25">
        <f t="shared" si="34"/>
        <v>0</v>
      </c>
      <c r="AJ46" s="28">
        <f t="shared" si="35"/>
        <v>45150</v>
      </c>
      <c r="AK46" s="24">
        <f t="shared" si="36"/>
        <v>0</v>
      </c>
      <c r="AL46" s="25">
        <f t="shared" si="37"/>
        <v>0</v>
      </c>
      <c r="AM46" s="29">
        <f t="shared" si="38"/>
        <v>0</v>
      </c>
      <c r="AN46" s="28">
        <f t="shared" si="39"/>
        <v>45150</v>
      </c>
      <c r="AO46" s="373">
        <f t="shared" si="0"/>
        <v>0</v>
      </c>
      <c r="AP46" s="374">
        <f t="shared" si="1"/>
        <v>0</v>
      </c>
      <c r="AQ46" s="27">
        <f t="shared" si="2"/>
        <v>0</v>
      </c>
      <c r="AR46" s="25">
        <f t="shared" si="3"/>
        <v>0</v>
      </c>
      <c r="AS46" s="25">
        <f t="shared" si="4"/>
        <v>0</v>
      </c>
      <c r="AT46" s="25">
        <f t="shared" si="5"/>
        <v>0</v>
      </c>
      <c r="AU46" s="29">
        <f t="shared" si="85"/>
        <v>0</v>
      </c>
      <c r="AV46" s="27">
        <f t="shared" si="40"/>
        <v>0</v>
      </c>
      <c r="AW46" s="27">
        <f t="shared" si="41"/>
        <v>0</v>
      </c>
      <c r="AX46" s="27">
        <f t="shared" si="42"/>
        <v>0</v>
      </c>
      <c r="AY46" s="27">
        <f t="shared" si="43"/>
        <v>0</v>
      </c>
      <c r="AZ46" s="2" t="str">
        <f t="shared" si="93"/>
        <v/>
      </c>
      <c r="BA46" s="2" t="str">
        <f t="shared" si="94"/>
        <v/>
      </c>
      <c r="BB46" s="2" t="str">
        <f t="shared" si="95"/>
        <v/>
      </c>
      <c r="BC46" s="2" t="str">
        <f t="shared" si="96"/>
        <v/>
      </c>
      <c r="BD46" s="2" t="str">
        <f t="shared" si="97"/>
        <v/>
      </c>
      <c r="BE46" s="2" t="str">
        <f t="shared" si="98"/>
        <v/>
      </c>
      <c r="BF46" s="2" t="str">
        <f t="shared" si="99"/>
        <v/>
      </c>
      <c r="BG46" s="2" t="str">
        <f t="shared" si="100"/>
        <v/>
      </c>
      <c r="BH46" s="2">
        <f t="shared" si="51"/>
        <v>0</v>
      </c>
      <c r="BI46" s="298" t="str">
        <f t="shared" si="87"/>
        <v/>
      </c>
      <c r="BJ46" s="298" t="str">
        <f t="shared" si="52"/>
        <v/>
      </c>
      <c r="BQ46" s="4">
        <f t="shared" si="55"/>
        <v>45150</v>
      </c>
      <c r="BR46" s="112">
        <f t="shared" si="56"/>
        <v>0</v>
      </c>
      <c r="BS46" s="112">
        <f t="shared" si="57"/>
        <v>0</v>
      </c>
      <c r="BT46" s="112">
        <f t="shared" si="58"/>
        <v>0</v>
      </c>
      <c r="BU46" s="112">
        <f t="shared" si="59"/>
        <v>0</v>
      </c>
      <c r="BV46" s="112">
        <f t="shared" si="60"/>
        <v>0</v>
      </c>
      <c r="BX46" s="4"/>
      <c r="BY46" s="4"/>
      <c r="CI46" s="4">
        <f t="shared" si="65"/>
        <v>45150</v>
      </c>
      <c r="CJ46" s="50">
        <f ca="1">IF($BH46=0,IF($CO46="",CJ45+R46,IF('283'!$K$251=1,VLOOKUP($CO46,PerStBal,2)+R46,IF('283'!$K$253=1,(VLOOKUP($CO46,PerPortion,2)*VLOOKUP($CO46,PerStBal,6))+R46,GL!BS46))),0)</f>
        <v>0</v>
      </c>
      <c r="CK46" s="425">
        <f ca="1">IF($BH46=0,IF($CO46="",CK45+T46,IF('283'!$K$251=1,IF(mname2&lt;&gt;"",VLOOKUP($CO46,PerStBal,3)+T46,0),IF('283'!$K$253=1,(VLOOKUP($CO46,PerPortion,3)*VLOOKUP($CO46,PerStBal,6))+T46,GL!BT46))),0)</f>
        <v>0</v>
      </c>
      <c r="CL46" s="425">
        <f ca="1">IF($BH46=0,IF($CO46="",CL45+V46,IF('283'!$K$251=1,IF(mname3&lt;&gt;"",VLOOKUP($CO46,PerStBal,4)+V46,0),IF('283'!$K$253=1,(VLOOKUP($CO46,PerPortion,4)*VLOOKUP($CO46,PerStBal,6))+V46,GL!BU46))),0)</f>
        <v>0</v>
      </c>
      <c r="CM46" s="425">
        <f ca="1">IF($BH46=0,IF($CO46="",CM45+X46,IF('283'!$K$251=1,IF(mname4&lt;&gt;"",VLOOKUP($CO46,PerStBal,5)+X46,0),IF('283'!$K$253=1,(VLOOKUP($CO46,PerPortion,5)*VLOOKUP($CO46,PerStBal,6))+X46,GL!BV46))),0)</f>
        <v>0</v>
      </c>
      <c r="CN46" s="50">
        <f t="shared" ca="1" si="66"/>
        <v>0</v>
      </c>
      <c r="CO46" s="4" t="str">
        <f t="shared" ca="1" si="67"/>
        <v/>
      </c>
      <c r="CP46" s="377">
        <f t="shared" si="7"/>
        <v>0</v>
      </c>
      <c r="DI46" s="4">
        <f t="shared" si="70"/>
        <v>45150</v>
      </c>
      <c r="DJ46" s="112">
        <f t="shared" ca="1" si="71"/>
        <v>0</v>
      </c>
      <c r="DK46" s="112">
        <f t="shared" si="72"/>
        <v>0</v>
      </c>
      <c r="DL46" s="4">
        <f t="shared" si="73"/>
        <v>45150</v>
      </c>
      <c r="DM46" s="112">
        <f t="shared" ca="1" si="74"/>
        <v>0</v>
      </c>
      <c r="DN46" s="112">
        <f t="shared" si="75"/>
        <v>0</v>
      </c>
      <c r="DO46" s="4">
        <f t="shared" si="76"/>
        <v>45150</v>
      </c>
      <c r="DP46" s="112">
        <f t="shared" ca="1" si="77"/>
        <v>0</v>
      </c>
      <c r="DQ46" s="112">
        <f t="shared" si="78"/>
        <v>0</v>
      </c>
      <c r="DR46" s="4">
        <f t="shared" si="79"/>
        <v>45150</v>
      </c>
      <c r="DS46" s="112">
        <f t="shared" ca="1" si="80"/>
        <v>0</v>
      </c>
      <c r="DT46" s="112">
        <f t="shared" si="81"/>
        <v>0</v>
      </c>
      <c r="DU46" s="4">
        <f t="shared" si="82"/>
        <v>45150</v>
      </c>
      <c r="DV46" s="112">
        <f t="shared" si="83"/>
        <v>0</v>
      </c>
      <c r="DW46" s="112">
        <f t="shared" si="84"/>
        <v>0</v>
      </c>
    </row>
    <row r="47" spans="2:127" x14ac:dyDescent="0.25">
      <c r="B47" s="39" t="str">
        <f>IF(LEFT('283'!B154,1)="R","Benefits Paid","")</f>
        <v/>
      </c>
      <c r="C47" s="3" t="str">
        <f>IF(B47&lt;&gt;"",IF('283'!C154&lt;&gt;"",'283'!C154,""),"")</f>
        <v/>
      </c>
      <c r="D47" s="40" t="str">
        <f>IF($B47&lt;&gt;"",IF('283'!D154&lt;&gt;"",'283'!D154,""),"")</f>
        <v/>
      </c>
      <c r="E47" s="40" t="str">
        <f>IF($B47&lt;&gt;"",IF('283'!E154&lt;&gt;"",'283'!E154,""),"")</f>
        <v/>
      </c>
      <c r="F47" s="40" t="str">
        <f>IF($B47&lt;&gt;"",IF('283'!F154&lt;&gt;"",'283'!F154,""),"")</f>
        <v/>
      </c>
      <c r="G47" s="41" t="str">
        <f>IF($B47&lt;&gt;"",IF('283'!G154&lt;&gt;"",'283'!G154,""),"")</f>
        <v/>
      </c>
      <c r="H47" s="23">
        <v>43</v>
      </c>
      <c r="I47" s="42" t="str">
        <f>IF(AND(LEFT('283'!B154,1)&lt;&gt;"R",LEFT('283'!B154,1)&lt;&gt;""),'283'!B154,"")</f>
        <v/>
      </c>
      <c r="J47" s="3" t="str">
        <f>IF(I47&lt;&gt;"",IF('283'!C154&lt;&gt;"",'283'!C154,""),"")</f>
        <v/>
      </c>
      <c r="K47" s="40" t="str">
        <f>IF($I47&lt;&gt;"",IF('283'!D154&lt;&gt;"",IF(LEFT($I47,1)="N",-'283'!D154,'283'!D154),""),"")</f>
        <v/>
      </c>
      <c r="L47" s="40" t="str">
        <f>IF($I47&lt;&gt;"",IF('283'!E154&lt;&gt;"",IF(LEFT($I47,1)="N",-'283'!E154,'283'!E154),""),"")</f>
        <v/>
      </c>
      <c r="M47" s="40" t="str">
        <f>IF($I47&lt;&gt;"",IF('283'!F154&lt;&gt;"",IF(LEFT($I47,1)="N",-'283'!F154,'283'!F154),""),"")</f>
        <v/>
      </c>
      <c r="N47" s="40" t="str">
        <f>IF($I47&lt;&gt;"",IF('283'!G154&lt;&gt;"",IF(LEFT($I47,1)="N",-'283'!G154,'283'!G154),""),"")</f>
        <v/>
      </c>
      <c r="O47" s="43"/>
      <c r="P47" s="38"/>
      <c r="Q47" s="4">
        <f t="shared" si="16"/>
        <v>45151</v>
      </c>
      <c r="R47" s="24">
        <f t="shared" si="17"/>
        <v>0</v>
      </c>
      <c r="S47" s="25">
        <f t="shared" si="18"/>
        <v>0</v>
      </c>
      <c r="T47" s="24">
        <f t="shared" si="19"/>
        <v>0</v>
      </c>
      <c r="U47" s="25">
        <f t="shared" si="20"/>
        <v>0</v>
      </c>
      <c r="V47" s="24">
        <f t="shared" si="21"/>
        <v>0</v>
      </c>
      <c r="W47" s="25">
        <f t="shared" si="22"/>
        <v>0</v>
      </c>
      <c r="X47" s="24">
        <f t="shared" si="23"/>
        <v>0</v>
      </c>
      <c r="Y47" s="26">
        <f t="shared" si="24"/>
        <v>0</v>
      </c>
      <c r="Z47" s="27">
        <f t="shared" si="25"/>
        <v>0</v>
      </c>
      <c r="AA47" s="28">
        <f t="shared" si="26"/>
        <v>45151</v>
      </c>
      <c r="AB47" s="24">
        <f t="shared" si="27"/>
        <v>0</v>
      </c>
      <c r="AC47" s="25">
        <f t="shared" si="28"/>
        <v>0</v>
      </c>
      <c r="AD47" s="28">
        <f t="shared" si="29"/>
        <v>45151</v>
      </c>
      <c r="AE47" s="24">
        <f t="shared" si="30"/>
        <v>0</v>
      </c>
      <c r="AF47" s="25">
        <f t="shared" si="31"/>
        <v>0</v>
      </c>
      <c r="AG47" s="28">
        <f t="shared" si="32"/>
        <v>45151</v>
      </c>
      <c r="AH47" s="24">
        <f t="shared" si="33"/>
        <v>0</v>
      </c>
      <c r="AI47" s="25">
        <f t="shared" si="34"/>
        <v>0</v>
      </c>
      <c r="AJ47" s="28">
        <f t="shared" si="35"/>
        <v>45151</v>
      </c>
      <c r="AK47" s="24">
        <f t="shared" si="36"/>
        <v>0</v>
      </c>
      <c r="AL47" s="25">
        <f t="shared" si="37"/>
        <v>0</v>
      </c>
      <c r="AM47" s="29">
        <f t="shared" si="38"/>
        <v>0</v>
      </c>
      <c r="AN47" s="28">
        <f t="shared" si="39"/>
        <v>45151</v>
      </c>
      <c r="AO47" s="373">
        <f t="shared" si="0"/>
        <v>0</v>
      </c>
      <c r="AP47" s="374">
        <f t="shared" si="1"/>
        <v>0</v>
      </c>
      <c r="AQ47" s="27">
        <f t="shared" si="2"/>
        <v>0</v>
      </c>
      <c r="AR47" s="25">
        <f t="shared" si="3"/>
        <v>0</v>
      </c>
      <c r="AS47" s="25">
        <f t="shared" si="4"/>
        <v>0</v>
      </c>
      <c r="AT47" s="25">
        <f t="shared" si="5"/>
        <v>0</v>
      </c>
      <c r="AU47" s="29">
        <f t="shared" si="85"/>
        <v>0</v>
      </c>
      <c r="AV47" s="27">
        <f t="shared" si="40"/>
        <v>0</v>
      </c>
      <c r="AW47" s="27">
        <f t="shared" si="41"/>
        <v>0</v>
      </c>
      <c r="AX47" s="27">
        <f t="shared" si="42"/>
        <v>0</v>
      </c>
      <c r="AY47" s="27">
        <f t="shared" si="43"/>
        <v>0</v>
      </c>
      <c r="AZ47" s="2" t="str">
        <f t="shared" si="93"/>
        <v/>
      </c>
      <c r="BA47" s="2" t="str">
        <f t="shared" si="94"/>
        <v/>
      </c>
      <c r="BB47" s="2" t="str">
        <f t="shared" si="95"/>
        <v/>
      </c>
      <c r="BC47" s="2" t="str">
        <f t="shared" si="96"/>
        <v/>
      </c>
      <c r="BD47" s="2" t="str">
        <f t="shared" si="97"/>
        <v/>
      </c>
      <c r="BE47" s="2" t="str">
        <f t="shared" si="98"/>
        <v/>
      </c>
      <c r="BF47" s="2" t="str">
        <f t="shared" si="99"/>
        <v/>
      </c>
      <c r="BG47" s="2" t="str">
        <f t="shared" si="100"/>
        <v/>
      </c>
      <c r="BH47" s="2">
        <f t="shared" si="51"/>
        <v>0</v>
      </c>
      <c r="BI47" s="298" t="str">
        <f t="shared" si="87"/>
        <v/>
      </c>
      <c r="BJ47" s="298" t="str">
        <f t="shared" si="52"/>
        <v/>
      </c>
      <c r="BQ47" s="4">
        <f t="shared" si="55"/>
        <v>45151</v>
      </c>
      <c r="BR47" s="112">
        <f t="shared" si="56"/>
        <v>0</v>
      </c>
      <c r="BS47" s="112">
        <f t="shared" si="57"/>
        <v>0</v>
      </c>
      <c r="BT47" s="112">
        <f t="shared" si="58"/>
        <v>0</v>
      </c>
      <c r="BU47" s="112">
        <f t="shared" si="59"/>
        <v>0</v>
      </c>
      <c r="BV47" s="112">
        <f t="shared" si="60"/>
        <v>0</v>
      </c>
      <c r="BX47" s="4"/>
      <c r="BY47" s="4"/>
      <c r="CI47" s="4">
        <f t="shared" si="65"/>
        <v>45151</v>
      </c>
      <c r="CJ47" s="50">
        <f ca="1">IF($BH47=0,IF($CO47="",CJ46+R47,IF('283'!$K$251=1,VLOOKUP($CO47,PerStBal,2)+R47,IF('283'!$K$253=1,(VLOOKUP($CO47,PerPortion,2)*VLOOKUP($CO47,PerStBal,6))+R47,GL!BS47))),0)</f>
        <v>0</v>
      </c>
      <c r="CK47" s="425">
        <f ca="1">IF($BH47=0,IF($CO47="",CK46+T47,IF('283'!$K$251=1,IF(mname2&lt;&gt;"",VLOOKUP($CO47,PerStBal,3)+T47,0),IF('283'!$K$253=1,(VLOOKUP($CO47,PerPortion,3)*VLOOKUP($CO47,PerStBal,6))+T47,GL!BT47))),0)</f>
        <v>0</v>
      </c>
      <c r="CL47" s="425">
        <f ca="1">IF($BH47=0,IF($CO47="",CL46+V47,IF('283'!$K$251=1,IF(mname3&lt;&gt;"",VLOOKUP($CO47,PerStBal,4)+V47,0),IF('283'!$K$253=1,(VLOOKUP($CO47,PerPortion,4)*VLOOKUP($CO47,PerStBal,6))+V47,GL!BU47))),0)</f>
        <v>0</v>
      </c>
      <c r="CM47" s="425">
        <f ca="1">IF($BH47=0,IF($CO47="",CM46+X47,IF('283'!$K$251=1,IF(mname4&lt;&gt;"",VLOOKUP($CO47,PerStBal,5)+X47,0),IF('283'!$K$253=1,(VLOOKUP($CO47,PerPortion,5)*VLOOKUP($CO47,PerStBal,6))+X47,GL!BV47))),0)</f>
        <v>0</v>
      </c>
      <c r="CN47" s="50">
        <f t="shared" ca="1" si="66"/>
        <v>0</v>
      </c>
      <c r="CO47" s="4" t="str">
        <f t="shared" ca="1" si="67"/>
        <v/>
      </c>
      <c r="CP47" s="377">
        <f t="shared" si="7"/>
        <v>0</v>
      </c>
      <c r="DI47" s="4">
        <f t="shared" si="70"/>
        <v>45151</v>
      </c>
      <c r="DJ47" s="112">
        <f t="shared" ca="1" si="71"/>
        <v>0</v>
      </c>
      <c r="DK47" s="112">
        <f t="shared" si="72"/>
        <v>0</v>
      </c>
      <c r="DL47" s="4">
        <f t="shared" si="73"/>
        <v>45151</v>
      </c>
      <c r="DM47" s="112">
        <f t="shared" ca="1" si="74"/>
        <v>0</v>
      </c>
      <c r="DN47" s="112">
        <f t="shared" si="75"/>
        <v>0</v>
      </c>
      <c r="DO47" s="4">
        <f t="shared" si="76"/>
        <v>45151</v>
      </c>
      <c r="DP47" s="112">
        <f t="shared" ca="1" si="77"/>
        <v>0</v>
      </c>
      <c r="DQ47" s="112">
        <f t="shared" si="78"/>
        <v>0</v>
      </c>
      <c r="DR47" s="4">
        <f t="shared" si="79"/>
        <v>45151</v>
      </c>
      <c r="DS47" s="112">
        <f t="shared" ca="1" si="80"/>
        <v>0</v>
      </c>
      <c r="DT47" s="112">
        <f t="shared" si="81"/>
        <v>0</v>
      </c>
      <c r="DU47" s="4">
        <f t="shared" si="82"/>
        <v>45151</v>
      </c>
      <c r="DV47" s="112">
        <f t="shared" si="83"/>
        <v>0</v>
      </c>
      <c r="DW47" s="112">
        <f t="shared" si="84"/>
        <v>0</v>
      </c>
    </row>
    <row r="48" spans="2:127" x14ac:dyDescent="0.25">
      <c r="B48" s="39" t="str">
        <f>IF(LEFT('283'!B155,1)="R","Benefits Paid","")</f>
        <v/>
      </c>
      <c r="C48" s="3" t="str">
        <f>IF(B48&lt;&gt;"",IF('283'!C155&lt;&gt;"",'283'!C155,""),"")</f>
        <v/>
      </c>
      <c r="D48" s="40" t="str">
        <f>IF($B48&lt;&gt;"",IF('283'!D155&lt;&gt;"",'283'!D155,""),"")</f>
        <v/>
      </c>
      <c r="E48" s="40" t="str">
        <f>IF($B48&lt;&gt;"",IF('283'!E155&lt;&gt;"",'283'!E155,""),"")</f>
        <v/>
      </c>
      <c r="F48" s="40" t="str">
        <f>IF($B48&lt;&gt;"",IF('283'!F155&lt;&gt;"",'283'!F155,""),"")</f>
        <v/>
      </c>
      <c r="G48" s="41" t="str">
        <f>IF($B48&lt;&gt;"",IF('283'!G155&lt;&gt;"",'283'!G155,""),"")</f>
        <v/>
      </c>
      <c r="H48" s="23">
        <v>44</v>
      </c>
      <c r="I48" s="42" t="str">
        <f>IF(AND(LEFT('283'!B155,1)&lt;&gt;"R",LEFT('283'!B155,1)&lt;&gt;""),'283'!B155,"")</f>
        <v/>
      </c>
      <c r="J48" s="3" t="str">
        <f>IF(I48&lt;&gt;"",IF('283'!C155&lt;&gt;"",'283'!C155,""),"")</f>
        <v/>
      </c>
      <c r="K48" s="40" t="str">
        <f>IF($I48&lt;&gt;"",IF('283'!D155&lt;&gt;"",IF(LEFT($I48,1)="N",-'283'!D155,'283'!D155),""),"")</f>
        <v/>
      </c>
      <c r="L48" s="40" t="str">
        <f>IF($I48&lt;&gt;"",IF('283'!E155&lt;&gt;"",IF(LEFT($I48,1)="N",-'283'!E155,'283'!E155),""),"")</f>
        <v/>
      </c>
      <c r="M48" s="40" t="str">
        <f>IF($I48&lt;&gt;"",IF('283'!F155&lt;&gt;"",IF(LEFT($I48,1)="N",-'283'!F155,'283'!F155),""),"")</f>
        <v/>
      </c>
      <c r="N48" s="40" t="str">
        <f>IF($I48&lt;&gt;"",IF('283'!G155&lt;&gt;"",IF(LEFT($I48,1)="N",-'283'!G155,'283'!G155),""),"")</f>
        <v/>
      </c>
      <c r="O48" s="43"/>
      <c r="P48" s="38"/>
      <c r="Q48" s="4">
        <f t="shared" si="16"/>
        <v>45152</v>
      </c>
      <c r="R48" s="24">
        <f t="shared" si="17"/>
        <v>0</v>
      </c>
      <c r="S48" s="25">
        <f t="shared" si="18"/>
        <v>0</v>
      </c>
      <c r="T48" s="24">
        <f t="shared" si="19"/>
        <v>0</v>
      </c>
      <c r="U48" s="25">
        <f t="shared" si="20"/>
        <v>0</v>
      </c>
      <c r="V48" s="24">
        <f t="shared" si="21"/>
        <v>0</v>
      </c>
      <c r="W48" s="25">
        <f t="shared" si="22"/>
        <v>0</v>
      </c>
      <c r="X48" s="24">
        <f t="shared" si="23"/>
        <v>0</v>
      </c>
      <c r="Y48" s="26">
        <f t="shared" si="24"/>
        <v>0</v>
      </c>
      <c r="Z48" s="27">
        <f t="shared" si="25"/>
        <v>0</v>
      </c>
      <c r="AA48" s="28">
        <f t="shared" si="26"/>
        <v>45152</v>
      </c>
      <c r="AB48" s="24">
        <f t="shared" si="27"/>
        <v>0</v>
      </c>
      <c r="AC48" s="25">
        <f t="shared" si="28"/>
        <v>0</v>
      </c>
      <c r="AD48" s="28">
        <f t="shared" si="29"/>
        <v>45152</v>
      </c>
      <c r="AE48" s="24">
        <f t="shared" si="30"/>
        <v>0</v>
      </c>
      <c r="AF48" s="25">
        <f t="shared" si="31"/>
        <v>0</v>
      </c>
      <c r="AG48" s="28">
        <f t="shared" si="32"/>
        <v>45152</v>
      </c>
      <c r="AH48" s="24">
        <f t="shared" si="33"/>
        <v>0</v>
      </c>
      <c r="AI48" s="25">
        <f t="shared" si="34"/>
        <v>0</v>
      </c>
      <c r="AJ48" s="28">
        <f t="shared" si="35"/>
        <v>45152</v>
      </c>
      <c r="AK48" s="24">
        <f t="shared" si="36"/>
        <v>0</v>
      </c>
      <c r="AL48" s="25">
        <f t="shared" si="37"/>
        <v>0</v>
      </c>
      <c r="AM48" s="29">
        <f t="shared" si="38"/>
        <v>0</v>
      </c>
      <c r="AN48" s="28">
        <f t="shared" si="39"/>
        <v>45152</v>
      </c>
      <c r="AO48" s="373">
        <f t="shared" si="0"/>
        <v>0</v>
      </c>
      <c r="AP48" s="374">
        <f t="shared" si="1"/>
        <v>0</v>
      </c>
      <c r="AQ48" s="27">
        <f t="shared" si="2"/>
        <v>0</v>
      </c>
      <c r="AR48" s="25">
        <f t="shared" si="3"/>
        <v>0</v>
      </c>
      <c r="AS48" s="25">
        <f t="shared" si="4"/>
        <v>0</v>
      </c>
      <c r="AT48" s="25">
        <f t="shared" si="5"/>
        <v>0</v>
      </c>
      <c r="AU48" s="29">
        <f t="shared" si="85"/>
        <v>0</v>
      </c>
      <c r="AV48" s="27">
        <f t="shared" si="40"/>
        <v>0</v>
      </c>
      <c r="AW48" s="27">
        <f t="shared" si="41"/>
        <v>0</v>
      </c>
      <c r="AX48" s="27">
        <f t="shared" si="42"/>
        <v>0</v>
      </c>
      <c r="AY48" s="27">
        <f t="shared" si="43"/>
        <v>0</v>
      </c>
      <c r="AZ48" s="2" t="str">
        <f t="shared" si="93"/>
        <v/>
      </c>
      <c r="BA48" s="2" t="str">
        <f t="shared" si="94"/>
        <v/>
      </c>
      <c r="BB48" s="2" t="str">
        <f t="shared" si="95"/>
        <v/>
      </c>
      <c r="BC48" s="2" t="str">
        <f t="shared" si="96"/>
        <v/>
      </c>
      <c r="BD48" s="2" t="str">
        <f t="shared" si="97"/>
        <v/>
      </c>
      <c r="BE48" s="2" t="str">
        <f t="shared" si="98"/>
        <v/>
      </c>
      <c r="BF48" s="2" t="str">
        <f t="shared" si="99"/>
        <v/>
      </c>
      <c r="BG48" s="2" t="str">
        <f t="shared" si="100"/>
        <v/>
      </c>
      <c r="BH48" s="2">
        <f t="shared" si="51"/>
        <v>0</v>
      </c>
      <c r="BI48" s="298" t="str">
        <f t="shared" si="87"/>
        <v/>
      </c>
      <c r="BJ48" s="298" t="str">
        <f t="shared" si="52"/>
        <v/>
      </c>
      <c r="BQ48" s="4">
        <f t="shared" si="55"/>
        <v>45152</v>
      </c>
      <c r="BR48" s="112">
        <f t="shared" si="56"/>
        <v>0</v>
      </c>
      <c r="BS48" s="112">
        <f t="shared" si="57"/>
        <v>0</v>
      </c>
      <c r="BT48" s="112">
        <f t="shared" si="58"/>
        <v>0</v>
      </c>
      <c r="BU48" s="112">
        <f t="shared" si="59"/>
        <v>0</v>
      </c>
      <c r="BV48" s="112">
        <f t="shared" si="60"/>
        <v>0</v>
      </c>
      <c r="BX48" s="4"/>
      <c r="BY48" s="4"/>
      <c r="CI48" s="4">
        <f t="shared" si="65"/>
        <v>45152</v>
      </c>
      <c r="CJ48" s="50">
        <f ca="1">IF($BH48=0,IF($CO48="",CJ47+R48,IF('283'!$K$251=1,VLOOKUP($CO48,PerStBal,2)+R48,IF('283'!$K$253=1,(VLOOKUP($CO48,PerPortion,2)*VLOOKUP($CO48,PerStBal,6))+R48,GL!BS48))),0)</f>
        <v>0</v>
      </c>
      <c r="CK48" s="425">
        <f ca="1">IF($BH48=0,IF($CO48="",CK47+T48,IF('283'!$K$251=1,IF(mname2&lt;&gt;"",VLOOKUP($CO48,PerStBal,3)+T48,0),IF('283'!$K$253=1,(VLOOKUP($CO48,PerPortion,3)*VLOOKUP($CO48,PerStBal,6))+T48,GL!BT48))),0)</f>
        <v>0</v>
      </c>
      <c r="CL48" s="425">
        <f ca="1">IF($BH48=0,IF($CO48="",CL47+V48,IF('283'!$K$251=1,IF(mname3&lt;&gt;"",VLOOKUP($CO48,PerStBal,4)+V48,0),IF('283'!$K$253=1,(VLOOKUP($CO48,PerPortion,4)*VLOOKUP($CO48,PerStBal,6))+V48,GL!BU48))),0)</f>
        <v>0</v>
      </c>
      <c r="CM48" s="425">
        <f ca="1">IF($BH48=0,IF($CO48="",CM47+X48,IF('283'!$K$251=1,IF(mname4&lt;&gt;"",VLOOKUP($CO48,PerStBal,5)+X48,0),IF('283'!$K$253=1,(VLOOKUP($CO48,PerPortion,5)*VLOOKUP($CO48,PerStBal,6))+X48,GL!BV48))),0)</f>
        <v>0</v>
      </c>
      <c r="CN48" s="50">
        <f t="shared" ca="1" si="66"/>
        <v>0</v>
      </c>
      <c r="CO48" s="4" t="str">
        <f t="shared" ca="1" si="67"/>
        <v/>
      </c>
      <c r="CP48" s="377">
        <f t="shared" si="7"/>
        <v>0</v>
      </c>
      <c r="DI48" s="4">
        <f t="shared" si="70"/>
        <v>45152</v>
      </c>
      <c r="DJ48" s="112">
        <f t="shared" ca="1" si="71"/>
        <v>0</v>
      </c>
      <c r="DK48" s="112">
        <f t="shared" si="72"/>
        <v>0</v>
      </c>
      <c r="DL48" s="4">
        <f t="shared" si="73"/>
        <v>45152</v>
      </c>
      <c r="DM48" s="112">
        <f t="shared" ca="1" si="74"/>
        <v>0</v>
      </c>
      <c r="DN48" s="112">
        <f t="shared" si="75"/>
        <v>0</v>
      </c>
      <c r="DO48" s="4">
        <f t="shared" si="76"/>
        <v>45152</v>
      </c>
      <c r="DP48" s="112">
        <f t="shared" ca="1" si="77"/>
        <v>0</v>
      </c>
      <c r="DQ48" s="112">
        <f t="shared" si="78"/>
        <v>0</v>
      </c>
      <c r="DR48" s="4">
        <f t="shared" si="79"/>
        <v>45152</v>
      </c>
      <c r="DS48" s="112">
        <f t="shared" ca="1" si="80"/>
        <v>0</v>
      </c>
      <c r="DT48" s="112">
        <f t="shared" si="81"/>
        <v>0</v>
      </c>
      <c r="DU48" s="4">
        <f t="shared" si="82"/>
        <v>45152</v>
      </c>
      <c r="DV48" s="112">
        <f t="shared" si="83"/>
        <v>0</v>
      </c>
      <c r="DW48" s="112">
        <f t="shared" si="84"/>
        <v>0</v>
      </c>
    </row>
    <row r="49" spans="2:127" x14ac:dyDescent="0.25">
      <c r="B49" s="39" t="str">
        <f>IF(LEFT('283'!B156,1)="R","Benefits Paid","")</f>
        <v/>
      </c>
      <c r="C49" s="3" t="str">
        <f>IF(B49&lt;&gt;"",IF('283'!C156&lt;&gt;"",'283'!C156,""),"")</f>
        <v/>
      </c>
      <c r="D49" s="40" t="str">
        <f>IF($B49&lt;&gt;"",IF('283'!D156&lt;&gt;"",'283'!D156,""),"")</f>
        <v/>
      </c>
      <c r="E49" s="40" t="str">
        <f>IF($B49&lt;&gt;"",IF('283'!E156&lt;&gt;"",'283'!E156,""),"")</f>
        <v/>
      </c>
      <c r="F49" s="40" t="str">
        <f>IF($B49&lt;&gt;"",IF('283'!F156&lt;&gt;"",'283'!F156,""),"")</f>
        <v/>
      </c>
      <c r="G49" s="41" t="str">
        <f>IF($B49&lt;&gt;"",IF('283'!G156&lt;&gt;"",'283'!G156,""),"")</f>
        <v/>
      </c>
      <c r="H49" s="23">
        <v>45</v>
      </c>
      <c r="I49" s="42" t="str">
        <f>IF(AND(LEFT('283'!B156,1)&lt;&gt;"R",LEFT('283'!B156,1)&lt;&gt;""),'283'!B156,"")</f>
        <v/>
      </c>
      <c r="J49" s="3" t="str">
        <f>IF(I49&lt;&gt;"",IF('283'!C156&lt;&gt;"",'283'!C156,""),"")</f>
        <v/>
      </c>
      <c r="K49" s="40" t="str">
        <f>IF($I49&lt;&gt;"",IF('283'!D156&lt;&gt;"",IF(LEFT($I49,1)="N",-'283'!D156,'283'!D156),""),"")</f>
        <v/>
      </c>
      <c r="L49" s="40" t="str">
        <f>IF($I49&lt;&gt;"",IF('283'!E156&lt;&gt;"",IF(LEFT($I49,1)="N",-'283'!E156,'283'!E156),""),"")</f>
        <v/>
      </c>
      <c r="M49" s="40" t="str">
        <f>IF($I49&lt;&gt;"",IF('283'!F156&lt;&gt;"",IF(LEFT($I49,1)="N",-'283'!F156,'283'!F156),""),"")</f>
        <v/>
      </c>
      <c r="N49" s="40" t="str">
        <f>IF($I49&lt;&gt;"",IF('283'!G156&lt;&gt;"",IF(LEFT($I49,1)="N",-'283'!G156,'283'!G156),""),"")</f>
        <v/>
      </c>
      <c r="O49" s="43"/>
      <c r="P49" s="38"/>
      <c r="Q49" s="4">
        <f t="shared" si="16"/>
        <v>45153</v>
      </c>
      <c r="R49" s="24">
        <f t="shared" si="17"/>
        <v>0</v>
      </c>
      <c r="S49" s="25">
        <f t="shared" si="18"/>
        <v>0</v>
      </c>
      <c r="T49" s="24">
        <f t="shared" si="19"/>
        <v>0</v>
      </c>
      <c r="U49" s="25">
        <f t="shared" si="20"/>
        <v>0</v>
      </c>
      <c r="V49" s="24">
        <f t="shared" si="21"/>
        <v>0</v>
      </c>
      <c r="W49" s="25">
        <f t="shared" si="22"/>
        <v>0</v>
      </c>
      <c r="X49" s="24">
        <f t="shared" si="23"/>
        <v>0</v>
      </c>
      <c r="Y49" s="26">
        <f t="shared" si="24"/>
        <v>0</v>
      </c>
      <c r="Z49" s="27">
        <f t="shared" si="25"/>
        <v>0</v>
      </c>
      <c r="AA49" s="28">
        <f t="shared" si="26"/>
        <v>45153</v>
      </c>
      <c r="AB49" s="24">
        <f t="shared" si="27"/>
        <v>0</v>
      </c>
      <c r="AC49" s="25">
        <f t="shared" si="28"/>
        <v>0</v>
      </c>
      <c r="AD49" s="28">
        <f t="shared" si="29"/>
        <v>45153</v>
      </c>
      <c r="AE49" s="24">
        <f t="shared" si="30"/>
        <v>0</v>
      </c>
      <c r="AF49" s="25">
        <f t="shared" si="31"/>
        <v>0</v>
      </c>
      <c r="AG49" s="28">
        <f t="shared" si="32"/>
        <v>45153</v>
      </c>
      <c r="AH49" s="24">
        <f t="shared" si="33"/>
        <v>0</v>
      </c>
      <c r="AI49" s="25">
        <f t="shared" si="34"/>
        <v>0</v>
      </c>
      <c r="AJ49" s="28">
        <f t="shared" si="35"/>
        <v>45153</v>
      </c>
      <c r="AK49" s="24">
        <f t="shared" si="36"/>
        <v>0</v>
      </c>
      <c r="AL49" s="25">
        <f t="shared" si="37"/>
        <v>0</v>
      </c>
      <c r="AM49" s="29">
        <f t="shared" si="38"/>
        <v>0</v>
      </c>
      <c r="AN49" s="28">
        <f t="shared" si="39"/>
        <v>45153</v>
      </c>
      <c r="AO49" s="373">
        <f t="shared" si="0"/>
        <v>0</v>
      </c>
      <c r="AP49" s="374">
        <f t="shared" si="1"/>
        <v>0</v>
      </c>
      <c r="AQ49" s="27">
        <f t="shared" si="2"/>
        <v>0</v>
      </c>
      <c r="AR49" s="25">
        <f t="shared" si="3"/>
        <v>0</v>
      </c>
      <c r="AS49" s="25">
        <f t="shared" si="4"/>
        <v>0</v>
      </c>
      <c r="AT49" s="25">
        <f t="shared" si="5"/>
        <v>0</v>
      </c>
      <c r="AU49" s="29">
        <f t="shared" si="85"/>
        <v>0</v>
      </c>
      <c r="AV49" s="27">
        <f t="shared" si="40"/>
        <v>0</v>
      </c>
      <c r="AW49" s="27">
        <f t="shared" si="41"/>
        <v>0</v>
      </c>
      <c r="AX49" s="27">
        <f t="shared" si="42"/>
        <v>0</v>
      </c>
      <c r="AY49" s="27">
        <f t="shared" si="43"/>
        <v>0</v>
      </c>
      <c r="AZ49" s="2" t="str">
        <f t="shared" si="93"/>
        <v/>
      </c>
      <c r="BA49" s="2" t="str">
        <f t="shared" si="94"/>
        <v/>
      </c>
      <c r="BB49" s="2" t="str">
        <f t="shared" si="95"/>
        <v/>
      </c>
      <c r="BC49" s="2" t="str">
        <f t="shared" si="96"/>
        <v/>
      </c>
      <c r="BD49" s="2" t="str">
        <f t="shared" si="97"/>
        <v/>
      </c>
      <c r="BE49" s="2" t="str">
        <f t="shared" si="98"/>
        <v/>
      </c>
      <c r="BF49" s="2" t="str">
        <f t="shared" si="99"/>
        <v/>
      </c>
      <c r="BG49" s="2" t="str">
        <f t="shared" si="100"/>
        <v/>
      </c>
      <c r="BH49" s="2">
        <f t="shared" si="51"/>
        <v>0</v>
      </c>
      <c r="BI49" s="298" t="str">
        <f t="shared" si="87"/>
        <v/>
      </c>
      <c r="BJ49" s="298" t="str">
        <f t="shared" si="52"/>
        <v/>
      </c>
      <c r="BQ49" s="4">
        <f t="shared" si="55"/>
        <v>45153</v>
      </c>
      <c r="BR49" s="112">
        <f t="shared" si="56"/>
        <v>0</v>
      </c>
      <c r="BS49" s="112">
        <f t="shared" si="57"/>
        <v>0</v>
      </c>
      <c r="BT49" s="112">
        <f t="shared" si="58"/>
        <v>0</v>
      </c>
      <c r="BU49" s="112">
        <f t="shared" si="59"/>
        <v>0</v>
      </c>
      <c r="BV49" s="112">
        <f t="shared" si="60"/>
        <v>0</v>
      </c>
      <c r="BX49" s="4"/>
      <c r="BY49" s="4"/>
      <c r="CI49" s="4">
        <f t="shared" si="65"/>
        <v>45153</v>
      </c>
      <c r="CJ49" s="50">
        <f ca="1">IF($BH49=0,IF($CO49="",CJ48+R49,IF('283'!$K$251=1,VLOOKUP($CO49,PerStBal,2)+R49,IF('283'!$K$253=1,(VLOOKUP($CO49,PerPortion,2)*VLOOKUP($CO49,PerStBal,6))+R49,GL!BS49))),0)</f>
        <v>0</v>
      </c>
      <c r="CK49" s="425">
        <f ca="1">IF($BH49=0,IF($CO49="",CK48+T49,IF('283'!$K$251=1,IF(mname2&lt;&gt;"",VLOOKUP($CO49,PerStBal,3)+T49,0),IF('283'!$K$253=1,(VLOOKUP($CO49,PerPortion,3)*VLOOKUP($CO49,PerStBal,6))+T49,GL!BT49))),0)</f>
        <v>0</v>
      </c>
      <c r="CL49" s="425">
        <f ca="1">IF($BH49=0,IF($CO49="",CL48+V49,IF('283'!$K$251=1,IF(mname3&lt;&gt;"",VLOOKUP($CO49,PerStBal,4)+V49,0),IF('283'!$K$253=1,(VLOOKUP($CO49,PerPortion,4)*VLOOKUP($CO49,PerStBal,6))+V49,GL!BU49))),0)</f>
        <v>0</v>
      </c>
      <c r="CM49" s="425">
        <f ca="1">IF($BH49=0,IF($CO49="",CM48+X49,IF('283'!$K$251=1,IF(mname4&lt;&gt;"",VLOOKUP($CO49,PerStBal,5)+X49,0),IF('283'!$K$253=1,(VLOOKUP($CO49,PerPortion,5)*VLOOKUP($CO49,PerStBal,6))+X49,GL!BV49))),0)</f>
        <v>0</v>
      </c>
      <c r="CN49" s="50">
        <f t="shared" ca="1" si="66"/>
        <v>0</v>
      </c>
      <c r="CO49" s="4" t="str">
        <f t="shared" ca="1" si="67"/>
        <v/>
      </c>
      <c r="CP49" s="377">
        <f t="shared" si="7"/>
        <v>0</v>
      </c>
      <c r="DI49" s="4">
        <f t="shared" si="70"/>
        <v>45153</v>
      </c>
      <c r="DJ49" s="112">
        <f t="shared" ca="1" si="71"/>
        <v>0</v>
      </c>
      <c r="DK49" s="112">
        <f t="shared" si="72"/>
        <v>0</v>
      </c>
      <c r="DL49" s="4">
        <f t="shared" si="73"/>
        <v>45153</v>
      </c>
      <c r="DM49" s="112">
        <f t="shared" ca="1" si="74"/>
        <v>0</v>
      </c>
      <c r="DN49" s="112">
        <f t="shared" si="75"/>
        <v>0</v>
      </c>
      <c r="DO49" s="4">
        <f t="shared" si="76"/>
        <v>45153</v>
      </c>
      <c r="DP49" s="112">
        <f t="shared" ca="1" si="77"/>
        <v>0</v>
      </c>
      <c r="DQ49" s="112">
        <f t="shared" si="78"/>
        <v>0</v>
      </c>
      <c r="DR49" s="4">
        <f t="shared" si="79"/>
        <v>45153</v>
      </c>
      <c r="DS49" s="112">
        <f t="shared" ca="1" si="80"/>
        <v>0</v>
      </c>
      <c r="DT49" s="112">
        <f t="shared" si="81"/>
        <v>0</v>
      </c>
      <c r="DU49" s="4">
        <f t="shared" si="82"/>
        <v>45153</v>
      </c>
      <c r="DV49" s="112">
        <f t="shared" si="83"/>
        <v>0</v>
      </c>
      <c r="DW49" s="112">
        <f t="shared" si="84"/>
        <v>0</v>
      </c>
    </row>
    <row r="50" spans="2:127" x14ac:dyDescent="0.25">
      <c r="B50" s="39" t="str">
        <f>IF(LEFT('283'!B157,1)="R","Benefits Paid","")</f>
        <v/>
      </c>
      <c r="C50" s="3" t="str">
        <f>IF(B50&lt;&gt;"",IF('283'!C157&lt;&gt;"",'283'!C157,""),"")</f>
        <v/>
      </c>
      <c r="D50" s="40" t="str">
        <f>IF($B50&lt;&gt;"",IF('283'!D157&lt;&gt;"",'283'!D157,""),"")</f>
        <v/>
      </c>
      <c r="E50" s="40" t="str">
        <f>IF($B50&lt;&gt;"",IF('283'!E157&lt;&gt;"",'283'!E157,""),"")</f>
        <v/>
      </c>
      <c r="F50" s="40" t="str">
        <f>IF($B50&lt;&gt;"",IF('283'!F157&lt;&gt;"",'283'!F157,""),"")</f>
        <v/>
      </c>
      <c r="G50" s="41" t="str">
        <f>IF($B50&lt;&gt;"",IF('283'!G157&lt;&gt;"",'283'!G157,""),"")</f>
        <v/>
      </c>
      <c r="H50" s="23">
        <v>46</v>
      </c>
      <c r="I50" s="42" t="str">
        <f>IF(AND(LEFT('283'!B157,1)&lt;&gt;"R",LEFT('283'!B157,1)&lt;&gt;""),'283'!B157,"")</f>
        <v/>
      </c>
      <c r="J50" s="3" t="str">
        <f>IF(I50&lt;&gt;"",IF('283'!C157&lt;&gt;"",'283'!C157,""),"")</f>
        <v/>
      </c>
      <c r="K50" s="40" t="str">
        <f>IF($I50&lt;&gt;"",IF('283'!D157&lt;&gt;"",IF(LEFT($I50,1)="N",-'283'!D157,'283'!D157),""),"")</f>
        <v/>
      </c>
      <c r="L50" s="40" t="str">
        <f>IF($I50&lt;&gt;"",IF('283'!E157&lt;&gt;"",IF(LEFT($I50,1)="N",-'283'!E157,'283'!E157),""),"")</f>
        <v/>
      </c>
      <c r="M50" s="40" t="str">
        <f>IF($I50&lt;&gt;"",IF('283'!F157&lt;&gt;"",IF(LEFT($I50,1)="N",-'283'!F157,'283'!F157),""),"")</f>
        <v/>
      </c>
      <c r="N50" s="40" t="str">
        <f>IF($I50&lt;&gt;"",IF('283'!G157&lt;&gt;"",IF(LEFT($I50,1)="N",-'283'!G157,'283'!G157),""),"")</f>
        <v/>
      </c>
      <c r="O50" s="43"/>
      <c r="P50" s="38"/>
      <c r="Q50" s="4">
        <f t="shared" si="16"/>
        <v>45154</v>
      </c>
      <c r="R50" s="24">
        <f t="shared" si="17"/>
        <v>0</v>
      </c>
      <c r="S50" s="25">
        <f t="shared" si="18"/>
        <v>0</v>
      </c>
      <c r="T50" s="24">
        <f t="shared" si="19"/>
        <v>0</v>
      </c>
      <c r="U50" s="25">
        <f t="shared" si="20"/>
        <v>0</v>
      </c>
      <c r="V50" s="24">
        <f t="shared" si="21"/>
        <v>0</v>
      </c>
      <c r="W50" s="25">
        <f t="shared" si="22"/>
        <v>0</v>
      </c>
      <c r="X50" s="24">
        <f t="shared" si="23"/>
        <v>0</v>
      </c>
      <c r="Y50" s="26">
        <f t="shared" si="24"/>
        <v>0</v>
      </c>
      <c r="Z50" s="27">
        <f t="shared" si="25"/>
        <v>0</v>
      </c>
      <c r="AA50" s="28">
        <f t="shared" si="26"/>
        <v>45154</v>
      </c>
      <c r="AB50" s="24">
        <f t="shared" si="27"/>
        <v>0</v>
      </c>
      <c r="AC50" s="25">
        <f t="shared" si="28"/>
        <v>0</v>
      </c>
      <c r="AD50" s="28">
        <f t="shared" si="29"/>
        <v>45154</v>
      </c>
      <c r="AE50" s="24">
        <f t="shared" si="30"/>
        <v>0</v>
      </c>
      <c r="AF50" s="25">
        <f t="shared" si="31"/>
        <v>0</v>
      </c>
      <c r="AG50" s="28">
        <f t="shared" si="32"/>
        <v>45154</v>
      </c>
      <c r="AH50" s="24">
        <f t="shared" si="33"/>
        <v>0</v>
      </c>
      <c r="AI50" s="25">
        <f t="shared" si="34"/>
        <v>0</v>
      </c>
      <c r="AJ50" s="28">
        <f t="shared" si="35"/>
        <v>45154</v>
      </c>
      <c r="AK50" s="24">
        <f t="shared" si="36"/>
        <v>0</v>
      </c>
      <c r="AL50" s="25">
        <f t="shared" si="37"/>
        <v>0</v>
      </c>
      <c r="AM50" s="29">
        <f t="shared" si="38"/>
        <v>0</v>
      </c>
      <c r="AN50" s="28">
        <f t="shared" si="39"/>
        <v>45154</v>
      </c>
      <c r="AO50" s="373">
        <f t="shared" si="0"/>
        <v>0</v>
      </c>
      <c r="AP50" s="374">
        <f t="shared" si="1"/>
        <v>0</v>
      </c>
      <c r="AQ50" s="27">
        <f t="shared" si="2"/>
        <v>0</v>
      </c>
      <c r="AR50" s="25">
        <f t="shared" si="3"/>
        <v>0</v>
      </c>
      <c r="AS50" s="25">
        <f t="shared" si="4"/>
        <v>0</v>
      </c>
      <c r="AT50" s="25">
        <f t="shared" si="5"/>
        <v>0</v>
      </c>
      <c r="AU50" s="29">
        <f t="shared" si="85"/>
        <v>0</v>
      </c>
      <c r="AV50" s="27">
        <f t="shared" si="40"/>
        <v>0</v>
      </c>
      <c r="AW50" s="27">
        <f t="shared" si="41"/>
        <v>0</v>
      </c>
      <c r="AX50" s="27">
        <f t="shared" si="42"/>
        <v>0</v>
      </c>
      <c r="AY50" s="27">
        <f t="shared" si="43"/>
        <v>0</v>
      </c>
      <c r="AZ50" s="2" t="str">
        <f t="shared" si="93"/>
        <v/>
      </c>
      <c r="BA50" s="2" t="str">
        <f t="shared" si="94"/>
        <v/>
      </c>
      <c r="BB50" s="2" t="str">
        <f t="shared" si="95"/>
        <v/>
      </c>
      <c r="BC50" s="2" t="str">
        <f t="shared" si="96"/>
        <v/>
      </c>
      <c r="BD50" s="2" t="str">
        <f t="shared" si="97"/>
        <v/>
      </c>
      <c r="BE50" s="2" t="str">
        <f t="shared" si="98"/>
        <v/>
      </c>
      <c r="BF50" s="2" t="str">
        <f t="shared" si="99"/>
        <v/>
      </c>
      <c r="BG50" s="2" t="str">
        <f t="shared" si="100"/>
        <v/>
      </c>
      <c r="BH50" s="2">
        <f t="shared" si="51"/>
        <v>0</v>
      </c>
      <c r="BI50" s="298" t="str">
        <f t="shared" si="87"/>
        <v/>
      </c>
      <c r="BJ50" s="298" t="str">
        <f t="shared" si="52"/>
        <v/>
      </c>
      <c r="BQ50" s="4">
        <f t="shared" si="55"/>
        <v>45154</v>
      </c>
      <c r="BR50" s="112">
        <f t="shared" si="56"/>
        <v>0</v>
      </c>
      <c r="BS50" s="112">
        <f t="shared" si="57"/>
        <v>0</v>
      </c>
      <c r="BT50" s="112">
        <f t="shared" si="58"/>
        <v>0</v>
      </c>
      <c r="BU50" s="112">
        <f t="shared" si="59"/>
        <v>0</v>
      </c>
      <c r="BV50" s="112">
        <f t="shared" si="60"/>
        <v>0</v>
      </c>
      <c r="BX50" s="4"/>
      <c r="BY50" s="4"/>
      <c r="CI50" s="4">
        <f t="shared" si="65"/>
        <v>45154</v>
      </c>
      <c r="CJ50" s="50">
        <f ca="1">IF($BH50=0,IF($CO50="",CJ49+R50,IF('283'!$K$251=1,VLOOKUP($CO50,PerStBal,2)+R50,IF('283'!$K$253=1,(VLOOKUP($CO50,PerPortion,2)*VLOOKUP($CO50,PerStBal,6))+R50,GL!BS50))),0)</f>
        <v>0</v>
      </c>
      <c r="CK50" s="425">
        <f ca="1">IF($BH50=0,IF($CO50="",CK49+T50,IF('283'!$K$251=1,IF(mname2&lt;&gt;"",VLOOKUP($CO50,PerStBal,3)+T50,0),IF('283'!$K$253=1,(VLOOKUP($CO50,PerPortion,3)*VLOOKUP($CO50,PerStBal,6))+T50,GL!BT50))),0)</f>
        <v>0</v>
      </c>
      <c r="CL50" s="425">
        <f ca="1">IF($BH50=0,IF($CO50="",CL49+V50,IF('283'!$K$251=1,IF(mname3&lt;&gt;"",VLOOKUP($CO50,PerStBal,4)+V50,0),IF('283'!$K$253=1,(VLOOKUP($CO50,PerPortion,4)*VLOOKUP($CO50,PerStBal,6))+V50,GL!BU50))),0)</f>
        <v>0</v>
      </c>
      <c r="CM50" s="425">
        <f ca="1">IF($BH50=0,IF($CO50="",CM49+X50,IF('283'!$K$251=1,IF(mname4&lt;&gt;"",VLOOKUP($CO50,PerStBal,5)+X50,0),IF('283'!$K$253=1,(VLOOKUP($CO50,PerPortion,5)*VLOOKUP($CO50,PerStBal,6))+X50,GL!BV50))),0)</f>
        <v>0</v>
      </c>
      <c r="CN50" s="50">
        <f t="shared" ca="1" si="66"/>
        <v>0</v>
      </c>
      <c r="CO50" s="4" t="str">
        <f t="shared" ca="1" si="67"/>
        <v/>
      </c>
      <c r="CP50" s="377">
        <f t="shared" si="7"/>
        <v>0</v>
      </c>
      <c r="DI50" s="4">
        <f t="shared" si="70"/>
        <v>45154</v>
      </c>
      <c r="DJ50" s="112">
        <f t="shared" ca="1" si="71"/>
        <v>0</v>
      </c>
      <c r="DK50" s="112">
        <f t="shared" si="72"/>
        <v>0</v>
      </c>
      <c r="DL50" s="4">
        <f t="shared" si="73"/>
        <v>45154</v>
      </c>
      <c r="DM50" s="112">
        <f t="shared" ca="1" si="74"/>
        <v>0</v>
      </c>
      <c r="DN50" s="112">
        <f t="shared" si="75"/>
        <v>0</v>
      </c>
      <c r="DO50" s="4">
        <f t="shared" si="76"/>
        <v>45154</v>
      </c>
      <c r="DP50" s="112">
        <f t="shared" ca="1" si="77"/>
        <v>0</v>
      </c>
      <c r="DQ50" s="112">
        <f t="shared" si="78"/>
        <v>0</v>
      </c>
      <c r="DR50" s="4">
        <f t="shared" si="79"/>
        <v>45154</v>
      </c>
      <c r="DS50" s="112">
        <f t="shared" ca="1" si="80"/>
        <v>0</v>
      </c>
      <c r="DT50" s="112">
        <f t="shared" si="81"/>
        <v>0</v>
      </c>
      <c r="DU50" s="4">
        <f t="shared" si="82"/>
        <v>45154</v>
      </c>
      <c r="DV50" s="112">
        <f t="shared" si="83"/>
        <v>0</v>
      </c>
      <c r="DW50" s="112">
        <f t="shared" si="84"/>
        <v>0</v>
      </c>
    </row>
    <row r="51" spans="2:127" x14ac:dyDescent="0.25">
      <c r="B51" s="39" t="str">
        <f>IF(LEFT('283'!B158,1)="R","Benefits Paid","")</f>
        <v/>
      </c>
      <c r="C51" s="3" t="str">
        <f>IF(B51&lt;&gt;"",IF('283'!C158&lt;&gt;"",'283'!C158,""),"")</f>
        <v/>
      </c>
      <c r="D51" s="40" t="str">
        <f>IF($B51&lt;&gt;"",IF('283'!D158&lt;&gt;"",'283'!D158,""),"")</f>
        <v/>
      </c>
      <c r="E51" s="40" t="str">
        <f>IF($B51&lt;&gt;"",IF('283'!E158&lt;&gt;"",'283'!E158,""),"")</f>
        <v/>
      </c>
      <c r="F51" s="40" t="str">
        <f>IF($B51&lt;&gt;"",IF('283'!F158&lt;&gt;"",'283'!F158,""),"")</f>
        <v/>
      </c>
      <c r="G51" s="41" t="str">
        <f>IF($B51&lt;&gt;"",IF('283'!G158&lt;&gt;"",'283'!G158,""),"")</f>
        <v/>
      </c>
      <c r="H51" s="23">
        <v>47</v>
      </c>
      <c r="I51" s="42" t="str">
        <f>IF(AND(LEFT('283'!B158,1)&lt;&gt;"R",LEFT('283'!B158,1)&lt;&gt;""),'283'!B158,"")</f>
        <v/>
      </c>
      <c r="J51" s="3" t="str">
        <f>IF(I51&lt;&gt;"",IF('283'!C158&lt;&gt;"",'283'!C158,""),"")</f>
        <v/>
      </c>
      <c r="K51" s="40" t="str">
        <f>IF($I51&lt;&gt;"",IF('283'!D158&lt;&gt;"",IF(LEFT($I51,1)="N",-'283'!D158,'283'!D158),""),"")</f>
        <v/>
      </c>
      <c r="L51" s="40" t="str">
        <f>IF($I51&lt;&gt;"",IF('283'!E158&lt;&gt;"",IF(LEFT($I51,1)="N",-'283'!E158,'283'!E158),""),"")</f>
        <v/>
      </c>
      <c r="M51" s="40" t="str">
        <f>IF($I51&lt;&gt;"",IF('283'!F158&lt;&gt;"",IF(LEFT($I51,1)="N",-'283'!F158,'283'!F158),""),"")</f>
        <v/>
      </c>
      <c r="N51" s="40" t="str">
        <f>IF($I51&lt;&gt;"",IF('283'!G158&lt;&gt;"",IF(LEFT($I51,1)="N",-'283'!G158,'283'!G158),""),"")</f>
        <v/>
      </c>
      <c r="O51" s="43"/>
      <c r="P51" s="38"/>
      <c r="Q51" s="4">
        <f t="shared" si="16"/>
        <v>45155</v>
      </c>
      <c r="R51" s="24">
        <f t="shared" si="17"/>
        <v>0</v>
      </c>
      <c r="S51" s="25">
        <f t="shared" si="18"/>
        <v>0</v>
      </c>
      <c r="T51" s="24">
        <f t="shared" si="19"/>
        <v>0</v>
      </c>
      <c r="U51" s="25">
        <f t="shared" si="20"/>
        <v>0</v>
      </c>
      <c r="V51" s="24">
        <f t="shared" si="21"/>
        <v>0</v>
      </c>
      <c r="W51" s="25">
        <f t="shared" si="22"/>
        <v>0</v>
      </c>
      <c r="X51" s="24">
        <f t="shared" si="23"/>
        <v>0</v>
      </c>
      <c r="Y51" s="26">
        <f t="shared" si="24"/>
        <v>0</v>
      </c>
      <c r="Z51" s="27">
        <f t="shared" si="25"/>
        <v>0</v>
      </c>
      <c r="AA51" s="28">
        <f t="shared" si="26"/>
        <v>45155</v>
      </c>
      <c r="AB51" s="24">
        <f t="shared" si="27"/>
        <v>0</v>
      </c>
      <c r="AC51" s="25">
        <f t="shared" si="28"/>
        <v>0</v>
      </c>
      <c r="AD51" s="28">
        <f t="shared" si="29"/>
        <v>45155</v>
      </c>
      <c r="AE51" s="24">
        <f t="shared" si="30"/>
        <v>0</v>
      </c>
      <c r="AF51" s="25">
        <f t="shared" si="31"/>
        <v>0</v>
      </c>
      <c r="AG51" s="28">
        <f t="shared" si="32"/>
        <v>45155</v>
      </c>
      <c r="AH51" s="24">
        <f t="shared" si="33"/>
        <v>0</v>
      </c>
      <c r="AI51" s="25">
        <f t="shared" si="34"/>
        <v>0</v>
      </c>
      <c r="AJ51" s="28">
        <f t="shared" si="35"/>
        <v>45155</v>
      </c>
      <c r="AK51" s="24">
        <f t="shared" si="36"/>
        <v>0</v>
      </c>
      <c r="AL51" s="25">
        <f t="shared" si="37"/>
        <v>0</v>
      </c>
      <c r="AM51" s="29">
        <f t="shared" si="38"/>
        <v>0</v>
      </c>
      <c r="AN51" s="28">
        <f t="shared" si="39"/>
        <v>45155</v>
      </c>
      <c r="AO51" s="373">
        <f t="shared" si="0"/>
        <v>0</v>
      </c>
      <c r="AP51" s="374">
        <f t="shared" si="1"/>
        <v>0</v>
      </c>
      <c r="AQ51" s="27">
        <f t="shared" si="2"/>
        <v>0</v>
      </c>
      <c r="AR51" s="25">
        <f t="shared" si="3"/>
        <v>0</v>
      </c>
      <c r="AS51" s="25">
        <f t="shared" si="4"/>
        <v>0</v>
      </c>
      <c r="AT51" s="25">
        <f t="shared" si="5"/>
        <v>0</v>
      </c>
      <c r="AU51" s="29">
        <f t="shared" si="85"/>
        <v>0</v>
      </c>
      <c r="AV51" s="27">
        <f t="shared" si="40"/>
        <v>0</v>
      </c>
      <c r="AW51" s="27">
        <f t="shared" si="41"/>
        <v>0</v>
      </c>
      <c r="AX51" s="27">
        <f t="shared" si="42"/>
        <v>0</v>
      </c>
      <c r="AY51" s="27">
        <f t="shared" si="43"/>
        <v>0</v>
      </c>
      <c r="AZ51" s="2" t="str">
        <f t="shared" si="93"/>
        <v/>
      </c>
      <c r="BA51" s="2" t="str">
        <f t="shared" si="94"/>
        <v/>
      </c>
      <c r="BB51" s="2" t="str">
        <f t="shared" si="95"/>
        <v/>
      </c>
      <c r="BC51" s="2" t="str">
        <f t="shared" si="96"/>
        <v/>
      </c>
      <c r="BD51" s="2" t="str">
        <f t="shared" si="97"/>
        <v/>
      </c>
      <c r="BE51" s="2" t="str">
        <f t="shared" si="98"/>
        <v/>
      </c>
      <c r="BF51" s="2" t="str">
        <f t="shared" si="99"/>
        <v/>
      </c>
      <c r="BG51" s="2" t="str">
        <f t="shared" si="100"/>
        <v/>
      </c>
      <c r="BH51" s="2">
        <f t="shared" si="51"/>
        <v>0</v>
      </c>
      <c r="BI51" s="298" t="str">
        <f t="shared" si="87"/>
        <v/>
      </c>
      <c r="BJ51" s="298" t="str">
        <f t="shared" si="52"/>
        <v/>
      </c>
      <c r="BQ51" s="4">
        <f t="shared" si="55"/>
        <v>45155</v>
      </c>
      <c r="BR51" s="112">
        <f t="shared" si="56"/>
        <v>0</v>
      </c>
      <c r="BS51" s="112">
        <f t="shared" si="57"/>
        <v>0</v>
      </c>
      <c r="BT51" s="112">
        <f t="shared" si="58"/>
        <v>0</v>
      </c>
      <c r="BU51" s="112">
        <f t="shared" si="59"/>
        <v>0</v>
      </c>
      <c r="BV51" s="112">
        <f t="shared" si="60"/>
        <v>0</v>
      </c>
      <c r="BX51" s="4"/>
      <c r="BY51" s="4"/>
      <c r="CI51" s="4">
        <f t="shared" si="65"/>
        <v>45155</v>
      </c>
      <c r="CJ51" s="50">
        <f ca="1">IF($BH51=0,IF($CO51="",CJ50+R51,IF('283'!$K$251=1,VLOOKUP($CO51,PerStBal,2)+R51,IF('283'!$K$253=1,(VLOOKUP($CO51,PerPortion,2)*VLOOKUP($CO51,PerStBal,6))+R51,GL!BS51))),0)</f>
        <v>0</v>
      </c>
      <c r="CK51" s="425">
        <f ca="1">IF($BH51=0,IF($CO51="",CK50+T51,IF('283'!$K$251=1,IF(mname2&lt;&gt;"",VLOOKUP($CO51,PerStBal,3)+T51,0),IF('283'!$K$253=1,(VLOOKUP($CO51,PerPortion,3)*VLOOKUP($CO51,PerStBal,6))+T51,GL!BT51))),0)</f>
        <v>0</v>
      </c>
      <c r="CL51" s="425">
        <f ca="1">IF($BH51=0,IF($CO51="",CL50+V51,IF('283'!$K$251=1,IF(mname3&lt;&gt;"",VLOOKUP($CO51,PerStBal,4)+V51,0),IF('283'!$K$253=1,(VLOOKUP($CO51,PerPortion,4)*VLOOKUP($CO51,PerStBal,6))+V51,GL!BU51))),0)</f>
        <v>0</v>
      </c>
      <c r="CM51" s="425">
        <f ca="1">IF($BH51=0,IF($CO51="",CM50+X51,IF('283'!$K$251=1,IF(mname4&lt;&gt;"",VLOOKUP($CO51,PerStBal,5)+X51,0),IF('283'!$K$253=1,(VLOOKUP($CO51,PerPortion,5)*VLOOKUP($CO51,PerStBal,6))+X51,GL!BV51))),0)</f>
        <v>0</v>
      </c>
      <c r="CN51" s="50">
        <f t="shared" ca="1" si="66"/>
        <v>0</v>
      </c>
      <c r="CO51" s="4" t="str">
        <f t="shared" ca="1" si="67"/>
        <v/>
      </c>
      <c r="CP51" s="377">
        <f t="shared" si="7"/>
        <v>0</v>
      </c>
      <c r="DI51" s="4">
        <f t="shared" si="70"/>
        <v>45155</v>
      </c>
      <c r="DJ51" s="112">
        <f t="shared" ca="1" si="71"/>
        <v>0</v>
      </c>
      <c r="DK51" s="112">
        <f t="shared" si="72"/>
        <v>0</v>
      </c>
      <c r="DL51" s="4">
        <f t="shared" si="73"/>
        <v>45155</v>
      </c>
      <c r="DM51" s="112">
        <f t="shared" ca="1" si="74"/>
        <v>0</v>
      </c>
      <c r="DN51" s="112">
        <f t="shared" si="75"/>
        <v>0</v>
      </c>
      <c r="DO51" s="4">
        <f t="shared" si="76"/>
        <v>45155</v>
      </c>
      <c r="DP51" s="112">
        <f t="shared" ca="1" si="77"/>
        <v>0</v>
      </c>
      <c r="DQ51" s="112">
        <f t="shared" si="78"/>
        <v>0</v>
      </c>
      <c r="DR51" s="4">
        <f t="shared" si="79"/>
        <v>45155</v>
      </c>
      <c r="DS51" s="112">
        <f t="shared" ca="1" si="80"/>
        <v>0</v>
      </c>
      <c r="DT51" s="112">
        <f t="shared" si="81"/>
        <v>0</v>
      </c>
      <c r="DU51" s="4">
        <f t="shared" si="82"/>
        <v>45155</v>
      </c>
      <c r="DV51" s="112">
        <f t="shared" si="83"/>
        <v>0</v>
      </c>
      <c r="DW51" s="112">
        <f t="shared" si="84"/>
        <v>0</v>
      </c>
    </row>
    <row r="52" spans="2:127" x14ac:dyDescent="0.25">
      <c r="B52" s="39" t="str">
        <f>IF(LEFT('283'!B159,1)="R","Benefits Paid","")</f>
        <v/>
      </c>
      <c r="C52" s="3" t="str">
        <f>IF(B52&lt;&gt;"",IF('283'!C159&lt;&gt;"",'283'!C159,""),"")</f>
        <v/>
      </c>
      <c r="D52" s="40" t="str">
        <f>IF($B52&lt;&gt;"",IF('283'!D159&lt;&gt;"",'283'!D159,""),"")</f>
        <v/>
      </c>
      <c r="E52" s="40" t="str">
        <f>IF($B52&lt;&gt;"",IF('283'!E159&lt;&gt;"",'283'!E159,""),"")</f>
        <v/>
      </c>
      <c r="F52" s="40" t="str">
        <f>IF($B52&lt;&gt;"",IF('283'!F159&lt;&gt;"",'283'!F159,""),"")</f>
        <v/>
      </c>
      <c r="G52" s="41" t="str">
        <f>IF($B52&lt;&gt;"",IF('283'!G159&lt;&gt;"",'283'!G159,""),"")</f>
        <v/>
      </c>
      <c r="H52" s="23">
        <v>48</v>
      </c>
      <c r="I52" s="42" t="str">
        <f>IF(AND(LEFT('283'!B159,1)&lt;&gt;"R",LEFT('283'!B159,1)&lt;&gt;""),'283'!B159,"")</f>
        <v/>
      </c>
      <c r="J52" s="3" t="str">
        <f>IF(I52&lt;&gt;"",IF('283'!C159&lt;&gt;"",'283'!C159,""),"")</f>
        <v/>
      </c>
      <c r="K52" s="40" t="str">
        <f>IF($I52&lt;&gt;"",IF('283'!D159&lt;&gt;"",IF(LEFT($I52,1)="N",-'283'!D159,'283'!D159),""),"")</f>
        <v/>
      </c>
      <c r="L52" s="40" t="str">
        <f>IF($I52&lt;&gt;"",IF('283'!E159&lt;&gt;"",IF(LEFT($I52,1)="N",-'283'!E159,'283'!E159),""),"")</f>
        <v/>
      </c>
      <c r="M52" s="40" t="str">
        <f>IF($I52&lt;&gt;"",IF('283'!F159&lt;&gt;"",IF(LEFT($I52,1)="N",-'283'!F159,'283'!F159),""),"")</f>
        <v/>
      </c>
      <c r="N52" s="40" t="str">
        <f>IF($I52&lt;&gt;"",IF('283'!G159&lt;&gt;"",IF(LEFT($I52,1)="N",-'283'!G159,'283'!G159),""),"")</f>
        <v/>
      </c>
      <c r="O52" s="43"/>
      <c r="P52" s="38"/>
      <c r="Q52" s="4">
        <f t="shared" si="16"/>
        <v>45156</v>
      </c>
      <c r="R52" s="24">
        <f t="shared" si="17"/>
        <v>0</v>
      </c>
      <c r="S52" s="25">
        <f t="shared" si="18"/>
        <v>0</v>
      </c>
      <c r="T52" s="24">
        <f t="shared" si="19"/>
        <v>0</v>
      </c>
      <c r="U52" s="25">
        <f t="shared" si="20"/>
        <v>0</v>
      </c>
      <c r="V52" s="24">
        <f t="shared" si="21"/>
        <v>0</v>
      </c>
      <c r="W52" s="25">
        <f t="shared" si="22"/>
        <v>0</v>
      </c>
      <c r="X52" s="24">
        <f t="shared" si="23"/>
        <v>0</v>
      </c>
      <c r="Y52" s="26">
        <f t="shared" si="24"/>
        <v>0</v>
      </c>
      <c r="Z52" s="27">
        <f t="shared" si="25"/>
        <v>0</v>
      </c>
      <c r="AA52" s="28">
        <f t="shared" si="26"/>
        <v>45156</v>
      </c>
      <c r="AB52" s="24">
        <f t="shared" si="27"/>
        <v>0</v>
      </c>
      <c r="AC52" s="25">
        <f t="shared" si="28"/>
        <v>0</v>
      </c>
      <c r="AD52" s="28">
        <f t="shared" si="29"/>
        <v>45156</v>
      </c>
      <c r="AE52" s="24">
        <f t="shared" si="30"/>
        <v>0</v>
      </c>
      <c r="AF52" s="25">
        <f t="shared" si="31"/>
        <v>0</v>
      </c>
      <c r="AG52" s="28">
        <f t="shared" si="32"/>
        <v>45156</v>
      </c>
      <c r="AH52" s="24">
        <f t="shared" si="33"/>
        <v>0</v>
      </c>
      <c r="AI52" s="25">
        <f t="shared" si="34"/>
        <v>0</v>
      </c>
      <c r="AJ52" s="28">
        <f t="shared" si="35"/>
        <v>45156</v>
      </c>
      <c r="AK52" s="24">
        <f t="shared" si="36"/>
        <v>0</v>
      </c>
      <c r="AL52" s="25">
        <f t="shared" si="37"/>
        <v>0</v>
      </c>
      <c r="AM52" s="29">
        <f t="shared" si="38"/>
        <v>0</v>
      </c>
      <c r="AN52" s="28">
        <f t="shared" si="39"/>
        <v>45156</v>
      </c>
      <c r="AO52" s="373">
        <f t="shared" si="0"/>
        <v>0</v>
      </c>
      <c r="AP52" s="374">
        <f t="shared" si="1"/>
        <v>0</v>
      </c>
      <c r="AQ52" s="27">
        <f t="shared" si="2"/>
        <v>0</v>
      </c>
      <c r="AR52" s="25">
        <f t="shared" si="3"/>
        <v>0</v>
      </c>
      <c r="AS52" s="25">
        <f t="shared" si="4"/>
        <v>0</v>
      </c>
      <c r="AT52" s="25">
        <f t="shared" si="5"/>
        <v>0</v>
      </c>
      <c r="AU52" s="29">
        <f t="shared" si="85"/>
        <v>0</v>
      </c>
      <c r="AV52" s="27">
        <f t="shared" si="40"/>
        <v>0</v>
      </c>
      <c r="AW52" s="27">
        <f t="shared" si="41"/>
        <v>0</v>
      </c>
      <c r="AX52" s="27">
        <f t="shared" si="42"/>
        <v>0</v>
      </c>
      <c r="AY52" s="27">
        <f t="shared" si="43"/>
        <v>0</v>
      </c>
      <c r="AZ52" s="2" t="str">
        <f t="shared" si="93"/>
        <v/>
      </c>
      <c r="BA52" s="2" t="str">
        <f t="shared" si="94"/>
        <v/>
      </c>
      <c r="BB52" s="2" t="str">
        <f t="shared" si="95"/>
        <v/>
      </c>
      <c r="BC52" s="2" t="str">
        <f t="shared" si="96"/>
        <v/>
      </c>
      <c r="BD52" s="2" t="str">
        <f t="shared" si="97"/>
        <v/>
      </c>
      <c r="BE52" s="2" t="str">
        <f t="shared" si="98"/>
        <v/>
      </c>
      <c r="BF52" s="2" t="str">
        <f t="shared" si="99"/>
        <v/>
      </c>
      <c r="BG52" s="2" t="str">
        <f t="shared" si="100"/>
        <v/>
      </c>
      <c r="BH52" s="2">
        <f t="shared" si="51"/>
        <v>0</v>
      </c>
      <c r="BI52" s="298" t="str">
        <f t="shared" si="87"/>
        <v/>
      </c>
      <c r="BJ52" s="298" t="str">
        <f t="shared" si="52"/>
        <v/>
      </c>
      <c r="BQ52" s="4">
        <f t="shared" si="55"/>
        <v>45156</v>
      </c>
      <c r="BR52" s="112">
        <f t="shared" si="56"/>
        <v>0</v>
      </c>
      <c r="BS52" s="112">
        <f t="shared" si="57"/>
        <v>0</v>
      </c>
      <c r="BT52" s="112">
        <f t="shared" si="58"/>
        <v>0</v>
      </c>
      <c r="BU52" s="112">
        <f t="shared" si="59"/>
        <v>0</v>
      </c>
      <c r="BV52" s="112">
        <f t="shared" si="60"/>
        <v>0</v>
      </c>
      <c r="BX52" s="4"/>
      <c r="BY52" s="4"/>
      <c r="CI52" s="4">
        <f t="shared" si="65"/>
        <v>45156</v>
      </c>
      <c r="CJ52" s="50">
        <f ca="1">IF($BH52=0,IF($CO52="",CJ51+R52,IF('283'!$K$251=1,VLOOKUP($CO52,PerStBal,2)+R52,IF('283'!$K$253=1,(VLOOKUP($CO52,PerPortion,2)*VLOOKUP($CO52,PerStBal,6))+R52,GL!BS52))),0)</f>
        <v>0</v>
      </c>
      <c r="CK52" s="425">
        <f ca="1">IF($BH52=0,IF($CO52="",CK51+T52,IF('283'!$K$251=1,IF(mname2&lt;&gt;"",VLOOKUP($CO52,PerStBal,3)+T52,0),IF('283'!$K$253=1,(VLOOKUP($CO52,PerPortion,3)*VLOOKUP($CO52,PerStBal,6))+T52,GL!BT52))),0)</f>
        <v>0</v>
      </c>
      <c r="CL52" s="425">
        <f ca="1">IF($BH52=0,IF($CO52="",CL51+V52,IF('283'!$K$251=1,IF(mname3&lt;&gt;"",VLOOKUP($CO52,PerStBal,4)+V52,0),IF('283'!$K$253=1,(VLOOKUP($CO52,PerPortion,4)*VLOOKUP($CO52,PerStBal,6))+V52,GL!BU52))),0)</f>
        <v>0</v>
      </c>
      <c r="CM52" s="425">
        <f ca="1">IF($BH52=0,IF($CO52="",CM51+X52,IF('283'!$K$251=1,IF(mname4&lt;&gt;"",VLOOKUP($CO52,PerStBal,5)+X52,0),IF('283'!$K$253=1,(VLOOKUP($CO52,PerPortion,5)*VLOOKUP($CO52,PerStBal,6))+X52,GL!BV52))),0)</f>
        <v>0</v>
      </c>
      <c r="CN52" s="50">
        <f t="shared" ca="1" si="66"/>
        <v>0</v>
      </c>
      <c r="CO52" s="4" t="str">
        <f t="shared" ca="1" si="67"/>
        <v/>
      </c>
      <c r="CP52" s="377">
        <f t="shared" si="7"/>
        <v>0</v>
      </c>
      <c r="DI52" s="4">
        <f t="shared" si="70"/>
        <v>45156</v>
      </c>
      <c r="DJ52" s="112">
        <f t="shared" ca="1" si="71"/>
        <v>0</v>
      </c>
      <c r="DK52" s="112">
        <f t="shared" si="72"/>
        <v>0</v>
      </c>
      <c r="DL52" s="4">
        <f t="shared" si="73"/>
        <v>45156</v>
      </c>
      <c r="DM52" s="112">
        <f t="shared" ca="1" si="74"/>
        <v>0</v>
      </c>
      <c r="DN52" s="112">
        <f t="shared" si="75"/>
        <v>0</v>
      </c>
      <c r="DO52" s="4">
        <f t="shared" si="76"/>
        <v>45156</v>
      </c>
      <c r="DP52" s="112">
        <f t="shared" ca="1" si="77"/>
        <v>0</v>
      </c>
      <c r="DQ52" s="112">
        <f t="shared" si="78"/>
        <v>0</v>
      </c>
      <c r="DR52" s="4">
        <f t="shared" si="79"/>
        <v>45156</v>
      </c>
      <c r="DS52" s="112">
        <f t="shared" ca="1" si="80"/>
        <v>0</v>
      </c>
      <c r="DT52" s="112">
        <f t="shared" si="81"/>
        <v>0</v>
      </c>
      <c r="DU52" s="4">
        <f t="shared" si="82"/>
        <v>45156</v>
      </c>
      <c r="DV52" s="112">
        <f t="shared" si="83"/>
        <v>0</v>
      </c>
      <c r="DW52" s="112">
        <f t="shared" si="84"/>
        <v>0</v>
      </c>
    </row>
    <row r="53" spans="2:127" x14ac:dyDescent="0.25">
      <c r="B53" s="39" t="str">
        <f>IF(LEFT('283'!B160,1)="R","Benefits Paid","")</f>
        <v/>
      </c>
      <c r="C53" s="3" t="str">
        <f>IF(B53&lt;&gt;"",IF('283'!C160&lt;&gt;"",'283'!C160,""),"")</f>
        <v/>
      </c>
      <c r="D53" s="40" t="str">
        <f>IF($B53&lt;&gt;"",IF('283'!D160&lt;&gt;"",'283'!D160,""),"")</f>
        <v/>
      </c>
      <c r="E53" s="40" t="str">
        <f>IF($B53&lt;&gt;"",IF('283'!E160&lt;&gt;"",'283'!E160,""),"")</f>
        <v/>
      </c>
      <c r="F53" s="40" t="str">
        <f>IF($B53&lt;&gt;"",IF('283'!F160&lt;&gt;"",'283'!F160,""),"")</f>
        <v/>
      </c>
      <c r="G53" s="41" t="str">
        <f>IF($B53&lt;&gt;"",IF('283'!G160&lt;&gt;"",'283'!G160,""),"")</f>
        <v/>
      </c>
      <c r="H53" s="23">
        <v>49</v>
      </c>
      <c r="I53" s="42" t="str">
        <f>IF(AND(LEFT('283'!B160,1)&lt;&gt;"R",LEFT('283'!B160,1)&lt;&gt;""),'283'!B160,"")</f>
        <v/>
      </c>
      <c r="J53" s="3" t="str">
        <f>IF(I53&lt;&gt;"",IF('283'!C160&lt;&gt;"",'283'!C160,""),"")</f>
        <v/>
      </c>
      <c r="K53" s="40" t="str">
        <f>IF($I53&lt;&gt;"",IF('283'!D160&lt;&gt;"",IF(LEFT($I53,1)="N",-'283'!D160,'283'!D160),""),"")</f>
        <v/>
      </c>
      <c r="L53" s="40" t="str">
        <f>IF($I53&lt;&gt;"",IF('283'!E160&lt;&gt;"",IF(LEFT($I53,1)="N",-'283'!E160,'283'!E160),""),"")</f>
        <v/>
      </c>
      <c r="M53" s="40" t="str">
        <f>IF($I53&lt;&gt;"",IF('283'!F160&lt;&gt;"",IF(LEFT($I53,1)="N",-'283'!F160,'283'!F160),""),"")</f>
        <v/>
      </c>
      <c r="N53" s="40" t="str">
        <f>IF($I53&lt;&gt;"",IF('283'!G160&lt;&gt;"",IF(LEFT($I53,1)="N",-'283'!G160,'283'!G160),""),"")</f>
        <v/>
      </c>
      <c r="O53" s="43"/>
      <c r="P53" s="38"/>
      <c r="Q53" s="4">
        <f t="shared" si="16"/>
        <v>45157</v>
      </c>
      <c r="R53" s="24">
        <f t="shared" si="17"/>
        <v>0</v>
      </c>
      <c r="S53" s="25">
        <f t="shared" si="18"/>
        <v>0</v>
      </c>
      <c r="T53" s="24">
        <f t="shared" si="19"/>
        <v>0</v>
      </c>
      <c r="U53" s="25">
        <f t="shared" si="20"/>
        <v>0</v>
      </c>
      <c r="V53" s="24">
        <f t="shared" si="21"/>
        <v>0</v>
      </c>
      <c r="W53" s="25">
        <f t="shared" si="22"/>
        <v>0</v>
      </c>
      <c r="X53" s="24">
        <f t="shared" si="23"/>
        <v>0</v>
      </c>
      <c r="Y53" s="26">
        <f t="shared" si="24"/>
        <v>0</v>
      </c>
      <c r="Z53" s="27">
        <f t="shared" si="25"/>
        <v>0</v>
      </c>
      <c r="AA53" s="28">
        <f t="shared" si="26"/>
        <v>45157</v>
      </c>
      <c r="AB53" s="24">
        <f t="shared" si="27"/>
        <v>0</v>
      </c>
      <c r="AC53" s="25">
        <f t="shared" si="28"/>
        <v>0</v>
      </c>
      <c r="AD53" s="28">
        <f t="shared" si="29"/>
        <v>45157</v>
      </c>
      <c r="AE53" s="24">
        <f t="shared" si="30"/>
        <v>0</v>
      </c>
      <c r="AF53" s="25">
        <f t="shared" si="31"/>
        <v>0</v>
      </c>
      <c r="AG53" s="28">
        <f t="shared" si="32"/>
        <v>45157</v>
      </c>
      <c r="AH53" s="24">
        <f t="shared" si="33"/>
        <v>0</v>
      </c>
      <c r="AI53" s="25">
        <f t="shared" si="34"/>
        <v>0</v>
      </c>
      <c r="AJ53" s="28">
        <f t="shared" si="35"/>
        <v>45157</v>
      </c>
      <c r="AK53" s="24">
        <f t="shared" si="36"/>
        <v>0</v>
      </c>
      <c r="AL53" s="25">
        <f t="shared" si="37"/>
        <v>0</v>
      </c>
      <c r="AM53" s="29">
        <f t="shared" si="38"/>
        <v>0</v>
      </c>
      <c r="AN53" s="28">
        <f t="shared" si="39"/>
        <v>45157</v>
      </c>
      <c r="AO53" s="373">
        <f t="shared" si="0"/>
        <v>0</v>
      </c>
      <c r="AP53" s="374">
        <f t="shared" si="1"/>
        <v>0</v>
      </c>
      <c r="AQ53" s="27">
        <f t="shared" si="2"/>
        <v>0</v>
      </c>
      <c r="AR53" s="25">
        <f t="shared" si="3"/>
        <v>0</v>
      </c>
      <c r="AS53" s="25">
        <f t="shared" si="4"/>
        <v>0</v>
      </c>
      <c r="AT53" s="25">
        <f t="shared" si="5"/>
        <v>0</v>
      </c>
      <c r="AU53" s="29">
        <f t="shared" si="85"/>
        <v>0</v>
      </c>
      <c r="AV53" s="27">
        <f t="shared" si="40"/>
        <v>0</v>
      </c>
      <c r="AW53" s="27">
        <f t="shared" si="41"/>
        <v>0</v>
      </c>
      <c r="AX53" s="27">
        <f t="shared" si="42"/>
        <v>0</v>
      </c>
      <c r="AY53" s="27">
        <f t="shared" si="43"/>
        <v>0</v>
      </c>
      <c r="AZ53" s="2" t="str">
        <f t="shared" si="93"/>
        <v/>
      </c>
      <c r="BA53" s="2" t="str">
        <f t="shared" si="94"/>
        <v/>
      </c>
      <c r="BB53" s="2" t="str">
        <f t="shared" si="95"/>
        <v/>
      </c>
      <c r="BC53" s="2" t="str">
        <f t="shared" si="96"/>
        <v/>
      </c>
      <c r="BD53" s="2" t="str">
        <f t="shared" si="97"/>
        <v/>
      </c>
      <c r="BE53" s="2" t="str">
        <f t="shared" si="98"/>
        <v/>
      </c>
      <c r="BF53" s="2" t="str">
        <f t="shared" si="99"/>
        <v/>
      </c>
      <c r="BG53" s="2" t="str">
        <f t="shared" si="100"/>
        <v/>
      </c>
      <c r="BH53" s="2">
        <f t="shared" si="51"/>
        <v>0</v>
      </c>
      <c r="BI53" s="298" t="str">
        <f t="shared" si="87"/>
        <v/>
      </c>
      <c r="BJ53" s="298" t="str">
        <f t="shared" si="52"/>
        <v/>
      </c>
      <c r="BQ53" s="4">
        <f t="shared" si="55"/>
        <v>45157</v>
      </c>
      <c r="BR53" s="112">
        <f t="shared" si="56"/>
        <v>0</v>
      </c>
      <c r="BS53" s="112">
        <f t="shared" si="57"/>
        <v>0</v>
      </c>
      <c r="BT53" s="112">
        <f t="shared" si="58"/>
        <v>0</v>
      </c>
      <c r="BU53" s="112">
        <f t="shared" si="59"/>
        <v>0</v>
      </c>
      <c r="BV53" s="112">
        <f t="shared" si="60"/>
        <v>0</v>
      </c>
      <c r="CI53" s="4">
        <f t="shared" si="65"/>
        <v>45157</v>
      </c>
      <c r="CJ53" s="50">
        <f ca="1">IF($BH53=0,IF($CO53="",CJ52+R53,IF('283'!$K$251=1,VLOOKUP($CO53,PerStBal,2)+R53,IF('283'!$K$253=1,(VLOOKUP($CO53,PerPortion,2)*VLOOKUP($CO53,PerStBal,6))+R53,GL!BS53))),0)</f>
        <v>0</v>
      </c>
      <c r="CK53" s="425">
        <f ca="1">IF($BH53=0,IF($CO53="",CK52+T53,IF('283'!$K$251=1,IF(mname2&lt;&gt;"",VLOOKUP($CO53,PerStBal,3)+T53,0),IF('283'!$K$253=1,(VLOOKUP($CO53,PerPortion,3)*VLOOKUP($CO53,PerStBal,6))+T53,GL!BT53))),0)</f>
        <v>0</v>
      </c>
      <c r="CL53" s="425">
        <f ca="1">IF($BH53=0,IF($CO53="",CL52+V53,IF('283'!$K$251=1,IF(mname3&lt;&gt;"",VLOOKUP($CO53,PerStBal,4)+V53,0),IF('283'!$K$253=1,(VLOOKUP($CO53,PerPortion,4)*VLOOKUP($CO53,PerStBal,6))+V53,GL!BU53))),0)</f>
        <v>0</v>
      </c>
      <c r="CM53" s="425">
        <f ca="1">IF($BH53=0,IF($CO53="",CM52+X53,IF('283'!$K$251=1,IF(mname4&lt;&gt;"",VLOOKUP($CO53,PerStBal,5)+X53,0),IF('283'!$K$253=1,(VLOOKUP($CO53,PerPortion,5)*VLOOKUP($CO53,PerStBal,6))+X53,GL!BV53))),0)</f>
        <v>0</v>
      </c>
      <c r="CN53" s="50">
        <f t="shared" ca="1" si="66"/>
        <v>0</v>
      </c>
      <c r="CO53" s="4" t="str">
        <f t="shared" ca="1" si="67"/>
        <v/>
      </c>
      <c r="CP53" s="377">
        <f t="shared" si="7"/>
        <v>0</v>
      </c>
      <c r="DI53" s="4">
        <f t="shared" si="70"/>
        <v>45157</v>
      </c>
      <c r="DJ53" s="112">
        <f t="shared" ca="1" si="71"/>
        <v>0</v>
      </c>
      <c r="DK53" s="112">
        <f t="shared" si="72"/>
        <v>0</v>
      </c>
      <c r="DL53" s="4">
        <f t="shared" si="73"/>
        <v>45157</v>
      </c>
      <c r="DM53" s="112">
        <f t="shared" ca="1" si="74"/>
        <v>0</v>
      </c>
      <c r="DN53" s="112">
        <f t="shared" si="75"/>
        <v>0</v>
      </c>
      <c r="DO53" s="4">
        <f t="shared" si="76"/>
        <v>45157</v>
      </c>
      <c r="DP53" s="112">
        <f t="shared" ca="1" si="77"/>
        <v>0</v>
      </c>
      <c r="DQ53" s="112">
        <f t="shared" si="78"/>
        <v>0</v>
      </c>
      <c r="DR53" s="4">
        <f t="shared" si="79"/>
        <v>45157</v>
      </c>
      <c r="DS53" s="112">
        <f t="shared" ca="1" si="80"/>
        <v>0</v>
      </c>
      <c r="DT53" s="112">
        <f t="shared" si="81"/>
        <v>0</v>
      </c>
      <c r="DU53" s="4">
        <f t="shared" si="82"/>
        <v>45157</v>
      </c>
      <c r="DV53" s="112">
        <f t="shared" si="83"/>
        <v>0</v>
      </c>
      <c r="DW53" s="112">
        <f t="shared" si="84"/>
        <v>0</v>
      </c>
    </row>
    <row r="54" spans="2:127" x14ac:dyDescent="0.25">
      <c r="B54" s="39" t="str">
        <f>IF(LEFT('283'!B161,1)="R","Benefits Paid","")</f>
        <v/>
      </c>
      <c r="C54" s="3" t="str">
        <f>IF(B54&lt;&gt;"",IF('283'!C161&lt;&gt;"",'283'!C161,""),"")</f>
        <v/>
      </c>
      <c r="D54" s="40" t="str">
        <f>IF($B54&lt;&gt;"",IF('283'!D161&lt;&gt;"",'283'!D161,""),"")</f>
        <v/>
      </c>
      <c r="E54" s="40" t="str">
        <f>IF($B54&lt;&gt;"",IF('283'!E161&lt;&gt;"",'283'!E161,""),"")</f>
        <v/>
      </c>
      <c r="F54" s="40" t="str">
        <f>IF($B54&lt;&gt;"",IF('283'!F161&lt;&gt;"",'283'!F161,""),"")</f>
        <v/>
      </c>
      <c r="G54" s="41" t="str">
        <f>IF($B54&lt;&gt;"",IF('283'!G161&lt;&gt;"",'283'!G161,""),"")</f>
        <v/>
      </c>
      <c r="H54" s="23">
        <v>50</v>
      </c>
      <c r="I54" s="42" t="str">
        <f>IF(AND(LEFT('283'!B161,1)&lt;&gt;"R",LEFT('283'!B161,1)&lt;&gt;""),'283'!B161,"")</f>
        <v/>
      </c>
      <c r="J54" s="3" t="str">
        <f>IF(I54&lt;&gt;"",IF('283'!C161&lt;&gt;"",'283'!C161,""),"")</f>
        <v/>
      </c>
      <c r="K54" s="40" t="str">
        <f>IF($I54&lt;&gt;"",IF('283'!D161&lt;&gt;"",IF(LEFT($I54,1)="N",-'283'!D161,'283'!D161),""),"")</f>
        <v/>
      </c>
      <c r="L54" s="40" t="str">
        <f>IF($I54&lt;&gt;"",IF('283'!E161&lt;&gt;"",IF(LEFT($I54,1)="N",-'283'!E161,'283'!E161),""),"")</f>
        <v/>
      </c>
      <c r="M54" s="40" t="str">
        <f>IF($I54&lt;&gt;"",IF('283'!F161&lt;&gt;"",IF(LEFT($I54,1)="N",-'283'!F161,'283'!F161),""),"")</f>
        <v/>
      </c>
      <c r="N54" s="40" t="str">
        <f>IF($I54&lt;&gt;"",IF('283'!G161&lt;&gt;"",IF(LEFT($I54,1)="N",-'283'!G161,'283'!G161),""),"")</f>
        <v/>
      </c>
      <c r="O54" s="43"/>
      <c r="P54" s="38"/>
      <c r="Q54" s="4">
        <f t="shared" si="16"/>
        <v>45158</v>
      </c>
      <c r="R54" s="24">
        <f t="shared" si="17"/>
        <v>0</v>
      </c>
      <c r="S54" s="25">
        <f t="shared" si="18"/>
        <v>0</v>
      </c>
      <c r="T54" s="24">
        <f t="shared" si="19"/>
        <v>0</v>
      </c>
      <c r="U54" s="25">
        <f t="shared" si="20"/>
        <v>0</v>
      </c>
      <c r="V54" s="24">
        <f t="shared" si="21"/>
        <v>0</v>
      </c>
      <c r="W54" s="25">
        <f t="shared" si="22"/>
        <v>0</v>
      </c>
      <c r="X54" s="24">
        <f t="shared" si="23"/>
        <v>0</v>
      </c>
      <c r="Y54" s="26">
        <f t="shared" si="24"/>
        <v>0</v>
      </c>
      <c r="Z54" s="27">
        <f t="shared" si="25"/>
        <v>0</v>
      </c>
      <c r="AA54" s="28">
        <f t="shared" si="26"/>
        <v>45158</v>
      </c>
      <c r="AB54" s="24">
        <f t="shared" si="27"/>
        <v>0</v>
      </c>
      <c r="AC54" s="25">
        <f t="shared" si="28"/>
        <v>0</v>
      </c>
      <c r="AD54" s="28">
        <f t="shared" si="29"/>
        <v>45158</v>
      </c>
      <c r="AE54" s="24">
        <f t="shared" si="30"/>
        <v>0</v>
      </c>
      <c r="AF54" s="25">
        <f t="shared" si="31"/>
        <v>0</v>
      </c>
      <c r="AG54" s="28">
        <f t="shared" si="32"/>
        <v>45158</v>
      </c>
      <c r="AH54" s="24">
        <f t="shared" si="33"/>
        <v>0</v>
      </c>
      <c r="AI54" s="25">
        <f t="shared" si="34"/>
        <v>0</v>
      </c>
      <c r="AJ54" s="28">
        <f t="shared" si="35"/>
        <v>45158</v>
      </c>
      <c r="AK54" s="24">
        <f t="shared" si="36"/>
        <v>0</v>
      </c>
      <c r="AL54" s="25">
        <f t="shared" si="37"/>
        <v>0</v>
      </c>
      <c r="AM54" s="29">
        <f t="shared" si="38"/>
        <v>0</v>
      </c>
      <c r="AN54" s="28">
        <f t="shared" si="39"/>
        <v>45158</v>
      </c>
      <c r="AO54" s="373">
        <f t="shared" si="0"/>
        <v>0</v>
      </c>
      <c r="AP54" s="374">
        <f t="shared" si="1"/>
        <v>0</v>
      </c>
      <c r="AQ54" s="27">
        <f t="shared" si="2"/>
        <v>0</v>
      </c>
      <c r="AR54" s="25">
        <f t="shared" si="3"/>
        <v>0</v>
      </c>
      <c r="AS54" s="25">
        <f t="shared" si="4"/>
        <v>0</v>
      </c>
      <c r="AT54" s="25">
        <f t="shared" si="5"/>
        <v>0</v>
      </c>
      <c r="AU54" s="29">
        <f t="shared" si="85"/>
        <v>0</v>
      </c>
      <c r="AV54" s="27">
        <f t="shared" si="40"/>
        <v>0</v>
      </c>
      <c r="AW54" s="27">
        <f t="shared" si="41"/>
        <v>0</v>
      </c>
      <c r="AX54" s="27">
        <f t="shared" si="42"/>
        <v>0</v>
      </c>
      <c r="AY54" s="27">
        <f t="shared" si="43"/>
        <v>0</v>
      </c>
      <c r="AZ54" s="2" t="str">
        <f>IF(AND($B84&lt;&gt;"",$C84=""),D84,"")</f>
        <v/>
      </c>
      <c r="BA54" s="2" t="str">
        <f>IF(AND($B84&lt;&gt;"",$C84=""),E84,"")</f>
        <v/>
      </c>
      <c r="BB54" s="2" t="str">
        <f>IF(AND($B84&lt;&gt;"",$C84=""),F84,"")</f>
        <v/>
      </c>
      <c r="BC54" s="2" t="str">
        <f>IF(AND($B84&lt;&gt;"",$C84=""),G84,"")</f>
        <v/>
      </c>
      <c r="BD54" s="2" t="str">
        <f>IF(AND($I84&lt;&gt;"",$J84=""),K84,"")</f>
        <v/>
      </c>
      <c r="BE54" s="2" t="str">
        <f>IF(AND($I84&lt;&gt;"",$J84=""),L84,"")</f>
        <v/>
      </c>
      <c r="BF54" s="2" t="str">
        <f>IF(AND($I84&lt;&gt;"",$J84=""),M84,"")</f>
        <v/>
      </c>
      <c r="BG54" s="2" t="str">
        <f>IF(AND($I84&lt;&gt;"",$J84=""),N84,"")</f>
        <v/>
      </c>
      <c r="BH54" s="2">
        <f t="shared" si="51"/>
        <v>0</v>
      </c>
      <c r="BI54" s="298" t="str">
        <f t="shared" si="87"/>
        <v/>
      </c>
      <c r="BJ54" s="298" t="str">
        <f t="shared" si="52"/>
        <v/>
      </c>
      <c r="BQ54" s="4">
        <f t="shared" si="55"/>
        <v>45158</v>
      </c>
      <c r="BR54" s="112">
        <f t="shared" si="56"/>
        <v>0</v>
      </c>
      <c r="BS54" s="112">
        <f t="shared" si="57"/>
        <v>0</v>
      </c>
      <c r="BT54" s="112">
        <f t="shared" si="58"/>
        <v>0</v>
      </c>
      <c r="BU54" s="112">
        <f t="shared" si="59"/>
        <v>0</v>
      </c>
      <c r="BV54" s="112">
        <f t="shared" si="60"/>
        <v>0</v>
      </c>
      <c r="CI54" s="4">
        <f t="shared" si="65"/>
        <v>45158</v>
      </c>
      <c r="CJ54" s="50">
        <f ca="1">IF($BH54=0,IF($CO54="",CJ53+R54,IF('283'!$K$251=1,VLOOKUP($CO54,PerStBal,2)+R54,IF('283'!$K$253=1,(VLOOKUP($CO54,PerPortion,2)*VLOOKUP($CO54,PerStBal,6))+R54,GL!BS54))),0)</f>
        <v>0</v>
      </c>
      <c r="CK54" s="425">
        <f ca="1">IF($BH54=0,IF($CO54="",CK53+T54,IF('283'!$K$251=1,IF(mname2&lt;&gt;"",VLOOKUP($CO54,PerStBal,3)+T54,0),IF('283'!$K$253=1,(VLOOKUP($CO54,PerPortion,3)*VLOOKUP($CO54,PerStBal,6))+T54,GL!BT54))),0)</f>
        <v>0</v>
      </c>
      <c r="CL54" s="425">
        <f ca="1">IF($BH54=0,IF($CO54="",CL53+V54,IF('283'!$K$251=1,IF(mname3&lt;&gt;"",VLOOKUP($CO54,PerStBal,4)+V54,0),IF('283'!$K$253=1,(VLOOKUP($CO54,PerPortion,4)*VLOOKUP($CO54,PerStBal,6))+V54,GL!BU54))),0)</f>
        <v>0</v>
      </c>
      <c r="CM54" s="425">
        <f ca="1">IF($BH54=0,IF($CO54="",CM53+X54,IF('283'!$K$251=1,IF(mname4&lt;&gt;"",VLOOKUP($CO54,PerStBal,5)+X54,0),IF('283'!$K$253=1,(VLOOKUP($CO54,PerPortion,5)*VLOOKUP($CO54,PerStBal,6))+X54,GL!BV54))),0)</f>
        <v>0</v>
      </c>
      <c r="CN54" s="50">
        <f t="shared" ca="1" si="66"/>
        <v>0</v>
      </c>
      <c r="CO54" s="4" t="str">
        <f t="shared" ca="1" si="67"/>
        <v/>
      </c>
      <c r="CP54" s="377">
        <f t="shared" si="7"/>
        <v>0</v>
      </c>
      <c r="DI54" s="4">
        <f t="shared" si="70"/>
        <v>45158</v>
      </c>
      <c r="DJ54" s="112">
        <f t="shared" ca="1" si="71"/>
        <v>0</v>
      </c>
      <c r="DK54" s="112">
        <f t="shared" si="72"/>
        <v>0</v>
      </c>
      <c r="DL54" s="4">
        <f t="shared" si="73"/>
        <v>45158</v>
      </c>
      <c r="DM54" s="112">
        <f t="shared" ca="1" si="74"/>
        <v>0</v>
      </c>
      <c r="DN54" s="112">
        <f t="shared" si="75"/>
        <v>0</v>
      </c>
      <c r="DO54" s="4">
        <f t="shared" si="76"/>
        <v>45158</v>
      </c>
      <c r="DP54" s="112">
        <f t="shared" ca="1" si="77"/>
        <v>0</v>
      </c>
      <c r="DQ54" s="112">
        <f t="shared" si="78"/>
        <v>0</v>
      </c>
      <c r="DR54" s="4">
        <f t="shared" si="79"/>
        <v>45158</v>
      </c>
      <c r="DS54" s="112">
        <f t="shared" ca="1" si="80"/>
        <v>0</v>
      </c>
      <c r="DT54" s="112">
        <f t="shared" si="81"/>
        <v>0</v>
      </c>
      <c r="DU54" s="4">
        <f t="shared" si="82"/>
        <v>45158</v>
      </c>
      <c r="DV54" s="112">
        <f t="shared" si="83"/>
        <v>0</v>
      </c>
      <c r="DW54" s="112">
        <f t="shared" si="84"/>
        <v>0</v>
      </c>
    </row>
    <row r="55" spans="2:127" x14ac:dyDescent="0.25">
      <c r="B55" s="39" t="str">
        <f>IF(LEFT('283'!B162,1)="R","Benefits Paid","")</f>
        <v/>
      </c>
      <c r="C55" s="3" t="str">
        <f>IF(B55&lt;&gt;"",IF('283'!C162&lt;&gt;"",'283'!C162,""),"")</f>
        <v/>
      </c>
      <c r="D55" s="40" t="str">
        <f>IF($B55&lt;&gt;"",IF('283'!D162&lt;&gt;"",'283'!D162,""),"")</f>
        <v/>
      </c>
      <c r="E55" s="40" t="str">
        <f>IF($B55&lt;&gt;"",IF('283'!E162&lt;&gt;"",'283'!E162,""),"")</f>
        <v/>
      </c>
      <c r="F55" s="40" t="str">
        <f>IF($B55&lt;&gt;"",IF('283'!F162&lt;&gt;"",'283'!F162,""),"")</f>
        <v/>
      </c>
      <c r="G55" s="41" t="str">
        <f>IF($B55&lt;&gt;"",IF('283'!G162&lt;&gt;"",'283'!G162,""),"")</f>
        <v/>
      </c>
      <c r="H55" s="23">
        <v>51</v>
      </c>
      <c r="I55" s="42" t="str">
        <f>IF(AND(LEFT('283'!B162,1)&lt;&gt;"R",LEFT('283'!B162,1)&lt;&gt;""),'283'!B162,"")</f>
        <v/>
      </c>
      <c r="J55" s="3" t="str">
        <f>IF(I55&lt;&gt;"",IF('283'!C162&lt;&gt;"",'283'!C162,""),"")</f>
        <v/>
      </c>
      <c r="K55" s="40" t="str">
        <f>IF($I55&lt;&gt;"",IF('283'!D162&lt;&gt;"",IF(LEFT($I55,1)="N",-'283'!D162,'283'!D162),""),"")</f>
        <v/>
      </c>
      <c r="L55" s="40" t="str">
        <f>IF($I55&lt;&gt;"",IF('283'!E162&lt;&gt;"",IF(LEFT($I55,1)="N",-'283'!E162,'283'!E162),""),"")</f>
        <v/>
      </c>
      <c r="M55" s="40" t="str">
        <f>IF($I55&lt;&gt;"",IF('283'!F162&lt;&gt;"",IF(LEFT($I55,1)="N",-'283'!F162,'283'!F162),""),"")</f>
        <v/>
      </c>
      <c r="N55" s="40" t="str">
        <f>IF($I55&lt;&gt;"",IF('283'!G162&lt;&gt;"",IF(LEFT($I55,1)="N",-'283'!G162,'283'!G162),""),"")</f>
        <v/>
      </c>
      <c r="O55" s="43"/>
      <c r="P55" s="38"/>
      <c r="Q55" s="4">
        <f t="shared" si="16"/>
        <v>45159</v>
      </c>
      <c r="R55" s="24">
        <f t="shared" si="17"/>
        <v>0</v>
      </c>
      <c r="S55" s="25">
        <f t="shared" si="18"/>
        <v>0</v>
      </c>
      <c r="T55" s="24">
        <f t="shared" si="19"/>
        <v>0</v>
      </c>
      <c r="U55" s="25">
        <f t="shared" si="20"/>
        <v>0</v>
      </c>
      <c r="V55" s="24">
        <f t="shared" si="21"/>
        <v>0</v>
      </c>
      <c r="W55" s="25">
        <f t="shared" si="22"/>
        <v>0</v>
      </c>
      <c r="X55" s="24">
        <f t="shared" si="23"/>
        <v>0</v>
      </c>
      <c r="Y55" s="26">
        <f t="shared" si="24"/>
        <v>0</v>
      </c>
      <c r="Z55" s="27">
        <f t="shared" si="25"/>
        <v>0</v>
      </c>
      <c r="AA55" s="28">
        <f t="shared" si="26"/>
        <v>45159</v>
      </c>
      <c r="AB55" s="24">
        <f t="shared" si="27"/>
        <v>0</v>
      </c>
      <c r="AC55" s="25">
        <f t="shared" si="28"/>
        <v>0</v>
      </c>
      <c r="AD55" s="28">
        <f t="shared" si="29"/>
        <v>45159</v>
      </c>
      <c r="AE55" s="24">
        <f t="shared" si="30"/>
        <v>0</v>
      </c>
      <c r="AF55" s="25">
        <f t="shared" si="31"/>
        <v>0</v>
      </c>
      <c r="AG55" s="28">
        <f t="shared" si="32"/>
        <v>45159</v>
      </c>
      <c r="AH55" s="24">
        <f t="shared" si="33"/>
        <v>0</v>
      </c>
      <c r="AI55" s="25">
        <f t="shared" si="34"/>
        <v>0</v>
      </c>
      <c r="AJ55" s="28">
        <f t="shared" si="35"/>
        <v>45159</v>
      </c>
      <c r="AK55" s="24">
        <f t="shared" si="36"/>
        <v>0</v>
      </c>
      <c r="AL55" s="25">
        <f t="shared" si="37"/>
        <v>0</v>
      </c>
      <c r="AM55" s="29">
        <f t="shared" si="38"/>
        <v>0</v>
      </c>
      <c r="AN55" s="28">
        <f t="shared" si="39"/>
        <v>45159</v>
      </c>
      <c r="AO55" s="373">
        <f t="shared" si="0"/>
        <v>0</v>
      </c>
      <c r="AP55" s="374">
        <f t="shared" si="1"/>
        <v>0</v>
      </c>
      <c r="AQ55" s="27">
        <f t="shared" si="2"/>
        <v>0</v>
      </c>
      <c r="AR55" s="25">
        <f t="shared" si="3"/>
        <v>0</v>
      </c>
      <c r="AS55" s="25">
        <f t="shared" si="4"/>
        <v>0</v>
      </c>
      <c r="AT55" s="25">
        <f t="shared" si="5"/>
        <v>0</v>
      </c>
      <c r="AU55" s="29">
        <f t="shared" si="85"/>
        <v>0</v>
      </c>
      <c r="AV55" s="27">
        <f t="shared" si="40"/>
        <v>0</v>
      </c>
      <c r="AW55" s="27">
        <f t="shared" si="41"/>
        <v>0</v>
      </c>
      <c r="AX55" s="27">
        <f t="shared" si="42"/>
        <v>0</v>
      </c>
      <c r="AY55" s="27">
        <f t="shared" si="43"/>
        <v>0</v>
      </c>
      <c r="BH55" s="2">
        <f t="shared" si="51"/>
        <v>0</v>
      </c>
      <c r="BI55" s="298" t="str">
        <f t="shared" si="87"/>
        <v/>
      </c>
      <c r="BJ55" s="298" t="str">
        <f t="shared" si="52"/>
        <v/>
      </c>
      <c r="BQ55" s="4">
        <f t="shared" si="55"/>
        <v>45159</v>
      </c>
      <c r="BR55" s="112">
        <f t="shared" si="56"/>
        <v>0</v>
      </c>
      <c r="BS55" s="112">
        <f t="shared" si="57"/>
        <v>0</v>
      </c>
      <c r="BT55" s="112">
        <f t="shared" si="58"/>
        <v>0</v>
      </c>
      <c r="BU55" s="112">
        <f t="shared" si="59"/>
        <v>0</v>
      </c>
      <c r="BV55" s="112">
        <f t="shared" si="60"/>
        <v>0</v>
      </c>
      <c r="CI55" s="4">
        <f t="shared" si="65"/>
        <v>45159</v>
      </c>
      <c r="CJ55" s="50">
        <f ca="1">IF($BH55=0,IF($CO55="",CJ54+R55,IF('283'!$K$251=1,VLOOKUP($CO55,PerStBal,2)+R55,IF('283'!$K$253=1,(VLOOKUP($CO55,PerPortion,2)*VLOOKUP($CO55,PerStBal,6))+R55,GL!BS55))),0)</f>
        <v>0</v>
      </c>
      <c r="CK55" s="425">
        <f ca="1">IF($BH55=0,IF($CO55="",CK54+T55,IF('283'!$K$251=1,IF(mname2&lt;&gt;"",VLOOKUP($CO55,PerStBal,3)+T55,0),IF('283'!$K$253=1,(VLOOKUP($CO55,PerPortion,3)*VLOOKUP($CO55,PerStBal,6))+T55,GL!BT55))),0)</f>
        <v>0</v>
      </c>
      <c r="CL55" s="425">
        <f ca="1">IF($BH55=0,IF($CO55="",CL54+V55,IF('283'!$K$251=1,IF(mname3&lt;&gt;"",VLOOKUP($CO55,PerStBal,4)+V55,0),IF('283'!$K$253=1,(VLOOKUP($CO55,PerPortion,4)*VLOOKUP($CO55,PerStBal,6))+V55,GL!BU55))),0)</f>
        <v>0</v>
      </c>
      <c r="CM55" s="425">
        <f ca="1">IF($BH55=0,IF($CO55="",CM54+X55,IF('283'!$K$251=1,IF(mname4&lt;&gt;"",VLOOKUP($CO55,PerStBal,5)+X55,0),IF('283'!$K$253=1,(VLOOKUP($CO55,PerPortion,5)*VLOOKUP($CO55,PerStBal,6))+X55,GL!BV55))),0)</f>
        <v>0</v>
      </c>
      <c r="CN55" s="50">
        <f t="shared" ca="1" si="66"/>
        <v>0</v>
      </c>
      <c r="CO55" s="4" t="str">
        <f t="shared" ca="1" si="67"/>
        <v/>
      </c>
      <c r="CP55" s="377">
        <f t="shared" si="7"/>
        <v>0</v>
      </c>
      <c r="DI55" s="4">
        <f t="shared" si="70"/>
        <v>45159</v>
      </c>
      <c r="DJ55" s="112">
        <f t="shared" ca="1" si="71"/>
        <v>0</v>
      </c>
      <c r="DK55" s="112">
        <f t="shared" si="72"/>
        <v>0</v>
      </c>
      <c r="DL55" s="4">
        <f t="shared" si="73"/>
        <v>45159</v>
      </c>
      <c r="DM55" s="112">
        <f t="shared" ca="1" si="74"/>
        <v>0</v>
      </c>
      <c r="DN55" s="112">
        <f t="shared" si="75"/>
        <v>0</v>
      </c>
      <c r="DO55" s="4">
        <f t="shared" si="76"/>
        <v>45159</v>
      </c>
      <c r="DP55" s="112">
        <f t="shared" ca="1" si="77"/>
        <v>0</v>
      </c>
      <c r="DQ55" s="112">
        <f t="shared" si="78"/>
        <v>0</v>
      </c>
      <c r="DR55" s="4">
        <f t="shared" si="79"/>
        <v>45159</v>
      </c>
      <c r="DS55" s="112">
        <f t="shared" ca="1" si="80"/>
        <v>0</v>
      </c>
      <c r="DT55" s="112">
        <f t="shared" si="81"/>
        <v>0</v>
      </c>
      <c r="DU55" s="4">
        <f t="shared" si="82"/>
        <v>45159</v>
      </c>
      <c r="DV55" s="112">
        <f t="shared" si="83"/>
        <v>0</v>
      </c>
      <c r="DW55" s="112">
        <f t="shared" si="84"/>
        <v>0</v>
      </c>
    </row>
    <row r="56" spans="2:127" x14ac:dyDescent="0.25">
      <c r="B56" s="39" t="str">
        <f>IF(LEFT('283'!B163,1)="R","Benefits Paid","")</f>
        <v/>
      </c>
      <c r="C56" s="3" t="str">
        <f>IF(B56&lt;&gt;"",IF('283'!C163&lt;&gt;"",'283'!C163,""),"")</f>
        <v/>
      </c>
      <c r="D56" s="40" t="str">
        <f>IF($B56&lt;&gt;"",IF('283'!D163&lt;&gt;"",'283'!D163,""),"")</f>
        <v/>
      </c>
      <c r="E56" s="40" t="str">
        <f>IF($B56&lt;&gt;"",IF('283'!E163&lt;&gt;"",'283'!E163,""),"")</f>
        <v/>
      </c>
      <c r="F56" s="40" t="str">
        <f>IF($B56&lt;&gt;"",IF('283'!F163&lt;&gt;"",'283'!F163,""),"")</f>
        <v/>
      </c>
      <c r="G56" s="41" t="str">
        <f>IF($B56&lt;&gt;"",IF('283'!G163&lt;&gt;"",'283'!G163,""),"")</f>
        <v/>
      </c>
      <c r="H56" s="23">
        <v>52</v>
      </c>
      <c r="I56" s="42" t="str">
        <f>IF(AND(LEFT('283'!B163,1)&lt;&gt;"R",LEFT('283'!B163,1)&lt;&gt;""),'283'!B163,"")</f>
        <v/>
      </c>
      <c r="J56" s="3" t="str">
        <f>IF(I56&lt;&gt;"",IF('283'!C163&lt;&gt;"",'283'!C163,""),"")</f>
        <v/>
      </c>
      <c r="K56" s="40" t="str">
        <f>IF($I56&lt;&gt;"",IF('283'!D163&lt;&gt;"",IF(LEFT($I56,1)="N",-'283'!D163,'283'!D163),""),"")</f>
        <v/>
      </c>
      <c r="L56" s="40" t="str">
        <f>IF($I56&lt;&gt;"",IF('283'!E163&lt;&gt;"",IF(LEFT($I56,1)="N",-'283'!E163,'283'!E163),""),"")</f>
        <v/>
      </c>
      <c r="M56" s="40" t="str">
        <f>IF($I56&lt;&gt;"",IF('283'!F163&lt;&gt;"",IF(LEFT($I56,1)="N",-'283'!F163,'283'!F163),""),"")</f>
        <v/>
      </c>
      <c r="N56" s="40" t="str">
        <f>IF($I56&lt;&gt;"",IF('283'!G163&lt;&gt;"",IF(LEFT($I56,1)="N",-'283'!G163,'283'!G163),""),"")</f>
        <v/>
      </c>
      <c r="O56" s="43"/>
      <c r="P56" s="38"/>
      <c r="Q56" s="4">
        <f t="shared" si="16"/>
        <v>45160</v>
      </c>
      <c r="R56" s="24">
        <f t="shared" si="17"/>
        <v>0</v>
      </c>
      <c r="S56" s="25">
        <f t="shared" si="18"/>
        <v>0</v>
      </c>
      <c r="T56" s="24">
        <f t="shared" si="19"/>
        <v>0</v>
      </c>
      <c r="U56" s="25">
        <f t="shared" si="20"/>
        <v>0</v>
      </c>
      <c r="V56" s="24">
        <f t="shared" si="21"/>
        <v>0</v>
      </c>
      <c r="W56" s="25">
        <f t="shared" si="22"/>
        <v>0</v>
      </c>
      <c r="X56" s="24">
        <f t="shared" si="23"/>
        <v>0</v>
      </c>
      <c r="Y56" s="26">
        <f t="shared" si="24"/>
        <v>0</v>
      </c>
      <c r="Z56" s="27">
        <f t="shared" si="25"/>
        <v>0</v>
      </c>
      <c r="AA56" s="28">
        <f t="shared" si="26"/>
        <v>45160</v>
      </c>
      <c r="AB56" s="24">
        <f t="shared" si="27"/>
        <v>0</v>
      </c>
      <c r="AC56" s="25">
        <f t="shared" si="28"/>
        <v>0</v>
      </c>
      <c r="AD56" s="28">
        <f t="shared" si="29"/>
        <v>45160</v>
      </c>
      <c r="AE56" s="24">
        <f t="shared" si="30"/>
        <v>0</v>
      </c>
      <c r="AF56" s="25">
        <f t="shared" si="31"/>
        <v>0</v>
      </c>
      <c r="AG56" s="28">
        <f t="shared" si="32"/>
        <v>45160</v>
      </c>
      <c r="AH56" s="24">
        <f t="shared" si="33"/>
        <v>0</v>
      </c>
      <c r="AI56" s="25">
        <f t="shared" si="34"/>
        <v>0</v>
      </c>
      <c r="AJ56" s="28">
        <f t="shared" si="35"/>
        <v>45160</v>
      </c>
      <c r="AK56" s="24">
        <f t="shared" si="36"/>
        <v>0</v>
      </c>
      <c r="AL56" s="25">
        <f t="shared" si="37"/>
        <v>0</v>
      </c>
      <c r="AM56" s="29">
        <f t="shared" si="38"/>
        <v>0</v>
      </c>
      <c r="AN56" s="28">
        <f t="shared" si="39"/>
        <v>45160</v>
      </c>
      <c r="AO56" s="373">
        <f t="shared" si="0"/>
        <v>0</v>
      </c>
      <c r="AP56" s="374">
        <f t="shared" si="1"/>
        <v>0</v>
      </c>
      <c r="AQ56" s="27">
        <f t="shared" si="2"/>
        <v>0</v>
      </c>
      <c r="AR56" s="25">
        <f t="shared" si="3"/>
        <v>0</v>
      </c>
      <c r="AS56" s="25">
        <f t="shared" si="4"/>
        <v>0</v>
      </c>
      <c r="AT56" s="25">
        <f t="shared" si="5"/>
        <v>0</v>
      </c>
      <c r="AU56" s="29">
        <f t="shared" si="85"/>
        <v>0</v>
      </c>
      <c r="AV56" s="27">
        <f t="shared" si="40"/>
        <v>0</v>
      </c>
      <c r="AW56" s="27">
        <f t="shared" si="41"/>
        <v>0</v>
      </c>
      <c r="AX56" s="27">
        <f t="shared" si="42"/>
        <v>0</v>
      </c>
      <c r="AY56" s="27">
        <f t="shared" si="43"/>
        <v>0</v>
      </c>
      <c r="BH56" s="2">
        <f t="shared" si="51"/>
        <v>0</v>
      </c>
      <c r="BI56" s="298" t="str">
        <f t="shared" si="87"/>
        <v/>
      </c>
      <c r="BJ56" s="298" t="str">
        <f t="shared" si="52"/>
        <v/>
      </c>
      <c r="BQ56" s="4">
        <f t="shared" si="55"/>
        <v>45160</v>
      </c>
      <c r="BR56" s="112">
        <f t="shared" si="56"/>
        <v>0</v>
      </c>
      <c r="BS56" s="112">
        <f t="shared" si="57"/>
        <v>0</v>
      </c>
      <c r="BT56" s="112">
        <f t="shared" si="58"/>
        <v>0</v>
      </c>
      <c r="BU56" s="112">
        <f t="shared" si="59"/>
        <v>0</v>
      </c>
      <c r="BV56" s="112">
        <f t="shared" si="60"/>
        <v>0</v>
      </c>
      <c r="CI56" s="4">
        <f t="shared" si="65"/>
        <v>45160</v>
      </c>
      <c r="CJ56" s="50">
        <f ca="1">IF($BH56=0,IF($CO56="",CJ55+R56,IF('283'!$K$251=1,VLOOKUP($CO56,PerStBal,2)+R56,IF('283'!$K$253=1,(VLOOKUP($CO56,PerPortion,2)*VLOOKUP($CO56,PerStBal,6))+R56,GL!BS56))),0)</f>
        <v>0</v>
      </c>
      <c r="CK56" s="425">
        <f ca="1">IF($BH56=0,IF($CO56="",CK55+T56,IF('283'!$K$251=1,IF(mname2&lt;&gt;"",VLOOKUP($CO56,PerStBal,3)+T56,0),IF('283'!$K$253=1,(VLOOKUP($CO56,PerPortion,3)*VLOOKUP($CO56,PerStBal,6))+T56,GL!BT56))),0)</f>
        <v>0</v>
      </c>
      <c r="CL56" s="425">
        <f ca="1">IF($BH56=0,IF($CO56="",CL55+V56,IF('283'!$K$251=1,IF(mname3&lt;&gt;"",VLOOKUP($CO56,PerStBal,4)+V56,0),IF('283'!$K$253=1,(VLOOKUP($CO56,PerPortion,4)*VLOOKUP($CO56,PerStBal,6))+V56,GL!BU56))),0)</f>
        <v>0</v>
      </c>
      <c r="CM56" s="425">
        <f ca="1">IF($BH56=0,IF($CO56="",CM55+X56,IF('283'!$K$251=1,IF(mname4&lt;&gt;"",VLOOKUP($CO56,PerStBal,5)+X56,0),IF('283'!$K$253=1,(VLOOKUP($CO56,PerPortion,5)*VLOOKUP($CO56,PerStBal,6))+X56,GL!BV56))),0)</f>
        <v>0</v>
      </c>
      <c r="CN56" s="50">
        <f t="shared" ca="1" si="66"/>
        <v>0</v>
      </c>
      <c r="CO56" s="4" t="str">
        <f t="shared" ca="1" si="67"/>
        <v/>
      </c>
      <c r="CP56" s="377">
        <f t="shared" si="7"/>
        <v>0</v>
      </c>
      <c r="DI56" s="4">
        <f t="shared" si="70"/>
        <v>45160</v>
      </c>
      <c r="DJ56" s="112">
        <f t="shared" ca="1" si="71"/>
        <v>0</v>
      </c>
      <c r="DK56" s="112">
        <f t="shared" si="72"/>
        <v>0</v>
      </c>
      <c r="DL56" s="4">
        <f t="shared" si="73"/>
        <v>45160</v>
      </c>
      <c r="DM56" s="112">
        <f t="shared" ca="1" si="74"/>
        <v>0</v>
      </c>
      <c r="DN56" s="112">
        <f t="shared" si="75"/>
        <v>0</v>
      </c>
      <c r="DO56" s="4">
        <f t="shared" si="76"/>
        <v>45160</v>
      </c>
      <c r="DP56" s="112">
        <f t="shared" ca="1" si="77"/>
        <v>0</v>
      </c>
      <c r="DQ56" s="112">
        <f t="shared" si="78"/>
        <v>0</v>
      </c>
      <c r="DR56" s="4">
        <f t="shared" si="79"/>
        <v>45160</v>
      </c>
      <c r="DS56" s="112">
        <f t="shared" ca="1" si="80"/>
        <v>0</v>
      </c>
      <c r="DT56" s="112">
        <f t="shared" si="81"/>
        <v>0</v>
      </c>
      <c r="DU56" s="4">
        <f t="shared" si="82"/>
        <v>45160</v>
      </c>
      <c r="DV56" s="112">
        <f t="shared" si="83"/>
        <v>0</v>
      </c>
      <c r="DW56" s="112">
        <f t="shared" si="84"/>
        <v>0</v>
      </c>
    </row>
    <row r="57" spans="2:127" x14ac:dyDescent="0.25">
      <c r="B57" s="39" t="str">
        <f>IF(LEFT('283'!B164,1)="R","Benefits Paid","")</f>
        <v/>
      </c>
      <c r="C57" s="3" t="str">
        <f>IF(B57&lt;&gt;"",IF('283'!C164&lt;&gt;"",'283'!C164,""),"")</f>
        <v/>
      </c>
      <c r="D57" s="40" t="str">
        <f>IF($B57&lt;&gt;"",IF('283'!D164&lt;&gt;"",'283'!D164,""),"")</f>
        <v/>
      </c>
      <c r="E57" s="40" t="str">
        <f>IF($B57&lt;&gt;"",IF('283'!E164&lt;&gt;"",'283'!E164,""),"")</f>
        <v/>
      </c>
      <c r="F57" s="40" t="str">
        <f>IF($B57&lt;&gt;"",IF('283'!F164&lt;&gt;"",'283'!F164,""),"")</f>
        <v/>
      </c>
      <c r="G57" s="41" t="str">
        <f>IF($B57&lt;&gt;"",IF('283'!G164&lt;&gt;"",'283'!G164,""),"")</f>
        <v/>
      </c>
      <c r="H57" s="23">
        <v>53</v>
      </c>
      <c r="I57" s="42" t="str">
        <f>IF(AND(LEFT('283'!B164,1)&lt;&gt;"R",LEFT('283'!B164,1)&lt;&gt;""),'283'!B164,"")</f>
        <v/>
      </c>
      <c r="J57" s="3" t="str">
        <f>IF(I57&lt;&gt;"",IF('283'!C164&lt;&gt;"",'283'!C164,""),"")</f>
        <v/>
      </c>
      <c r="K57" s="40" t="str">
        <f>IF($I57&lt;&gt;"",IF('283'!D164&lt;&gt;"",IF(LEFT($I57,1)="N",-'283'!D164,'283'!D164),""),"")</f>
        <v/>
      </c>
      <c r="L57" s="40" t="str">
        <f>IF($I57&lt;&gt;"",IF('283'!E164&lt;&gt;"",IF(LEFT($I57,1)="N",-'283'!E164,'283'!E164),""),"")</f>
        <v/>
      </c>
      <c r="M57" s="40" t="str">
        <f>IF($I57&lt;&gt;"",IF('283'!F164&lt;&gt;"",IF(LEFT($I57,1)="N",-'283'!F164,'283'!F164),""),"")</f>
        <v/>
      </c>
      <c r="N57" s="40" t="str">
        <f>IF($I57&lt;&gt;"",IF('283'!G164&lt;&gt;"",IF(LEFT($I57,1)="N",-'283'!G164,'283'!G164),""),"")</f>
        <v/>
      </c>
      <c r="O57" s="43"/>
      <c r="P57" s="38"/>
      <c r="Q57" s="4">
        <f t="shared" si="16"/>
        <v>45161</v>
      </c>
      <c r="R57" s="24">
        <f t="shared" si="17"/>
        <v>0</v>
      </c>
      <c r="S57" s="25">
        <f t="shared" si="18"/>
        <v>0</v>
      </c>
      <c r="T57" s="24">
        <f t="shared" si="19"/>
        <v>0</v>
      </c>
      <c r="U57" s="25">
        <f t="shared" si="20"/>
        <v>0</v>
      </c>
      <c r="V57" s="24">
        <f t="shared" si="21"/>
        <v>0</v>
      </c>
      <c r="W57" s="25">
        <f t="shared" si="22"/>
        <v>0</v>
      </c>
      <c r="X57" s="24">
        <f t="shared" si="23"/>
        <v>0</v>
      </c>
      <c r="Y57" s="26">
        <f t="shared" si="24"/>
        <v>0</v>
      </c>
      <c r="Z57" s="27">
        <f t="shared" si="25"/>
        <v>0</v>
      </c>
      <c r="AA57" s="28">
        <f t="shared" si="26"/>
        <v>45161</v>
      </c>
      <c r="AB57" s="24">
        <f t="shared" si="27"/>
        <v>0</v>
      </c>
      <c r="AC57" s="25">
        <f t="shared" si="28"/>
        <v>0</v>
      </c>
      <c r="AD57" s="28">
        <f t="shared" si="29"/>
        <v>45161</v>
      </c>
      <c r="AE57" s="24">
        <f t="shared" si="30"/>
        <v>0</v>
      </c>
      <c r="AF57" s="25">
        <f t="shared" si="31"/>
        <v>0</v>
      </c>
      <c r="AG57" s="28">
        <f t="shared" si="32"/>
        <v>45161</v>
      </c>
      <c r="AH57" s="24">
        <f t="shared" si="33"/>
        <v>0</v>
      </c>
      <c r="AI57" s="25">
        <f t="shared" si="34"/>
        <v>0</v>
      </c>
      <c r="AJ57" s="28">
        <f t="shared" si="35"/>
        <v>45161</v>
      </c>
      <c r="AK57" s="24">
        <f t="shared" si="36"/>
        <v>0</v>
      </c>
      <c r="AL57" s="25">
        <f t="shared" si="37"/>
        <v>0</v>
      </c>
      <c r="AM57" s="29">
        <f t="shared" si="38"/>
        <v>0</v>
      </c>
      <c r="AN57" s="28">
        <f t="shared" si="39"/>
        <v>45161</v>
      </c>
      <c r="AO57" s="373">
        <f t="shared" si="0"/>
        <v>0</v>
      </c>
      <c r="AP57" s="374">
        <f t="shared" si="1"/>
        <v>0</v>
      </c>
      <c r="AQ57" s="27">
        <f t="shared" si="2"/>
        <v>0</v>
      </c>
      <c r="AR57" s="25">
        <f t="shared" si="3"/>
        <v>0</v>
      </c>
      <c r="AS57" s="25">
        <f t="shared" si="4"/>
        <v>0</v>
      </c>
      <c r="AT57" s="25">
        <f t="shared" si="5"/>
        <v>0</v>
      </c>
      <c r="AU57" s="29">
        <f t="shared" si="85"/>
        <v>0</v>
      </c>
      <c r="AV57" s="27">
        <f t="shared" si="40"/>
        <v>0</v>
      </c>
      <c r="AW57" s="27">
        <f t="shared" si="41"/>
        <v>0</v>
      </c>
      <c r="AX57" s="27">
        <f t="shared" si="42"/>
        <v>0</v>
      </c>
      <c r="AY57" s="27">
        <f t="shared" si="43"/>
        <v>0</v>
      </c>
      <c r="BH57" s="2">
        <f t="shared" si="51"/>
        <v>0</v>
      </c>
      <c r="BI57" s="298" t="str">
        <f t="shared" si="87"/>
        <v/>
      </c>
      <c r="BJ57" s="298" t="str">
        <f t="shared" si="52"/>
        <v/>
      </c>
      <c r="BQ57" s="4">
        <f t="shared" si="55"/>
        <v>45161</v>
      </c>
      <c r="BR57" s="112">
        <f t="shared" si="56"/>
        <v>0</v>
      </c>
      <c r="BS57" s="112">
        <f t="shared" si="57"/>
        <v>0</v>
      </c>
      <c r="BT57" s="112">
        <f t="shared" si="58"/>
        <v>0</v>
      </c>
      <c r="BU57" s="112">
        <f t="shared" si="59"/>
        <v>0</v>
      </c>
      <c r="BV57" s="112">
        <f t="shared" si="60"/>
        <v>0</v>
      </c>
      <c r="CI57" s="4">
        <f t="shared" si="65"/>
        <v>45161</v>
      </c>
      <c r="CJ57" s="50">
        <f ca="1">IF($BH57=0,IF($CO57="",CJ56+R57,IF('283'!$K$251=1,VLOOKUP($CO57,PerStBal,2)+R57,IF('283'!$K$253=1,(VLOOKUP($CO57,PerPortion,2)*VLOOKUP($CO57,PerStBal,6))+R57,GL!BS57))),0)</f>
        <v>0</v>
      </c>
      <c r="CK57" s="425">
        <f ca="1">IF($BH57=0,IF($CO57="",CK56+T57,IF('283'!$K$251=1,IF(mname2&lt;&gt;"",VLOOKUP($CO57,PerStBal,3)+T57,0),IF('283'!$K$253=1,(VLOOKUP($CO57,PerPortion,3)*VLOOKUP($CO57,PerStBal,6))+T57,GL!BT57))),0)</f>
        <v>0</v>
      </c>
      <c r="CL57" s="425">
        <f ca="1">IF($BH57=0,IF($CO57="",CL56+V57,IF('283'!$K$251=1,IF(mname3&lt;&gt;"",VLOOKUP($CO57,PerStBal,4)+V57,0),IF('283'!$K$253=1,(VLOOKUP($CO57,PerPortion,4)*VLOOKUP($CO57,PerStBal,6))+V57,GL!BU57))),0)</f>
        <v>0</v>
      </c>
      <c r="CM57" s="425">
        <f ca="1">IF($BH57=0,IF($CO57="",CM56+X57,IF('283'!$K$251=1,IF(mname4&lt;&gt;"",VLOOKUP($CO57,PerStBal,5)+X57,0),IF('283'!$K$253=1,(VLOOKUP($CO57,PerPortion,5)*VLOOKUP($CO57,PerStBal,6))+X57,GL!BV57))),0)</f>
        <v>0</v>
      </c>
      <c r="CN57" s="50">
        <f t="shared" ca="1" si="66"/>
        <v>0</v>
      </c>
      <c r="CO57" s="4" t="str">
        <f t="shared" ca="1" si="67"/>
        <v/>
      </c>
      <c r="CP57" s="377">
        <f t="shared" si="7"/>
        <v>0</v>
      </c>
      <c r="DI57" s="4">
        <f t="shared" si="70"/>
        <v>45161</v>
      </c>
      <c r="DJ57" s="112">
        <f t="shared" ca="1" si="71"/>
        <v>0</v>
      </c>
      <c r="DK57" s="112">
        <f t="shared" si="72"/>
        <v>0</v>
      </c>
      <c r="DL57" s="4">
        <f t="shared" si="73"/>
        <v>45161</v>
      </c>
      <c r="DM57" s="112">
        <f t="shared" ca="1" si="74"/>
        <v>0</v>
      </c>
      <c r="DN57" s="112">
        <f t="shared" si="75"/>
        <v>0</v>
      </c>
      <c r="DO57" s="4">
        <f t="shared" si="76"/>
        <v>45161</v>
      </c>
      <c r="DP57" s="112">
        <f t="shared" ca="1" si="77"/>
        <v>0</v>
      </c>
      <c r="DQ57" s="112">
        <f t="shared" si="78"/>
        <v>0</v>
      </c>
      <c r="DR57" s="4">
        <f t="shared" si="79"/>
        <v>45161</v>
      </c>
      <c r="DS57" s="112">
        <f t="shared" ca="1" si="80"/>
        <v>0</v>
      </c>
      <c r="DT57" s="112">
        <f t="shared" si="81"/>
        <v>0</v>
      </c>
      <c r="DU57" s="4">
        <f t="shared" si="82"/>
        <v>45161</v>
      </c>
      <c r="DV57" s="112">
        <f t="shared" si="83"/>
        <v>0</v>
      </c>
      <c r="DW57" s="112">
        <f t="shared" si="84"/>
        <v>0</v>
      </c>
    </row>
    <row r="58" spans="2:127" x14ac:dyDescent="0.25">
      <c r="B58" s="39" t="str">
        <f>IF(LEFT('283'!B165,1)="R","Benefits Paid","")</f>
        <v/>
      </c>
      <c r="C58" s="3" t="str">
        <f>IF(B58&lt;&gt;"",IF('283'!C165&lt;&gt;"",'283'!C165,""),"")</f>
        <v/>
      </c>
      <c r="D58" s="40" t="str">
        <f>IF($B58&lt;&gt;"",IF('283'!D165&lt;&gt;"",'283'!D165,""),"")</f>
        <v/>
      </c>
      <c r="E58" s="40" t="str">
        <f>IF($B58&lt;&gt;"",IF('283'!E165&lt;&gt;"",'283'!E165,""),"")</f>
        <v/>
      </c>
      <c r="F58" s="40" t="str">
        <f>IF($B58&lt;&gt;"",IF('283'!F165&lt;&gt;"",'283'!F165,""),"")</f>
        <v/>
      </c>
      <c r="G58" s="41" t="str">
        <f>IF($B58&lt;&gt;"",IF('283'!G165&lt;&gt;"",'283'!G165,""),"")</f>
        <v/>
      </c>
      <c r="H58" s="23">
        <v>54</v>
      </c>
      <c r="I58" s="42" t="str">
        <f>IF(AND(LEFT('283'!B165,1)&lt;&gt;"R",LEFT('283'!B165,1)&lt;&gt;""),'283'!B165,"")</f>
        <v/>
      </c>
      <c r="J58" s="3" t="str">
        <f>IF(I58&lt;&gt;"",IF('283'!C165&lt;&gt;"",'283'!C165,""),"")</f>
        <v/>
      </c>
      <c r="K58" s="40" t="str">
        <f>IF($I58&lt;&gt;"",IF('283'!D165&lt;&gt;"",IF(LEFT($I58,1)="N",-'283'!D165,'283'!D165),""),"")</f>
        <v/>
      </c>
      <c r="L58" s="40" t="str">
        <f>IF($I58&lt;&gt;"",IF('283'!E165&lt;&gt;"",IF(LEFT($I58,1)="N",-'283'!E165,'283'!E165),""),"")</f>
        <v/>
      </c>
      <c r="M58" s="40" t="str">
        <f>IF($I58&lt;&gt;"",IF('283'!F165&lt;&gt;"",IF(LEFT($I58,1)="N",-'283'!F165,'283'!F165),""),"")</f>
        <v/>
      </c>
      <c r="N58" s="40" t="str">
        <f>IF($I58&lt;&gt;"",IF('283'!G165&lt;&gt;"",IF(LEFT($I58,1)="N",-'283'!G165,'283'!G165),""),"")</f>
        <v/>
      </c>
      <c r="O58" s="43"/>
      <c r="P58" s="38"/>
      <c r="Q58" s="4">
        <f t="shared" si="16"/>
        <v>45162</v>
      </c>
      <c r="R58" s="24">
        <f t="shared" si="17"/>
        <v>0</v>
      </c>
      <c r="S58" s="25">
        <f t="shared" si="18"/>
        <v>0</v>
      </c>
      <c r="T58" s="24">
        <f t="shared" si="19"/>
        <v>0</v>
      </c>
      <c r="U58" s="25">
        <f t="shared" si="20"/>
        <v>0</v>
      </c>
      <c r="V58" s="24">
        <f t="shared" si="21"/>
        <v>0</v>
      </c>
      <c r="W58" s="25">
        <f t="shared" si="22"/>
        <v>0</v>
      </c>
      <c r="X58" s="24">
        <f t="shared" si="23"/>
        <v>0</v>
      </c>
      <c r="Y58" s="26">
        <f t="shared" si="24"/>
        <v>0</v>
      </c>
      <c r="Z58" s="27">
        <f t="shared" si="25"/>
        <v>0</v>
      </c>
      <c r="AA58" s="28">
        <f t="shared" si="26"/>
        <v>45162</v>
      </c>
      <c r="AB58" s="24">
        <f t="shared" si="27"/>
        <v>0</v>
      </c>
      <c r="AC58" s="25">
        <f t="shared" si="28"/>
        <v>0</v>
      </c>
      <c r="AD58" s="28">
        <f t="shared" si="29"/>
        <v>45162</v>
      </c>
      <c r="AE58" s="24">
        <f t="shared" si="30"/>
        <v>0</v>
      </c>
      <c r="AF58" s="25">
        <f t="shared" si="31"/>
        <v>0</v>
      </c>
      <c r="AG58" s="28">
        <f t="shared" si="32"/>
        <v>45162</v>
      </c>
      <c r="AH58" s="24">
        <f t="shared" si="33"/>
        <v>0</v>
      </c>
      <c r="AI58" s="25">
        <f t="shared" si="34"/>
        <v>0</v>
      </c>
      <c r="AJ58" s="28">
        <f t="shared" si="35"/>
        <v>45162</v>
      </c>
      <c r="AK58" s="24">
        <f t="shared" si="36"/>
        <v>0</v>
      </c>
      <c r="AL58" s="25">
        <f t="shared" si="37"/>
        <v>0</v>
      </c>
      <c r="AM58" s="29">
        <f t="shared" si="38"/>
        <v>0</v>
      </c>
      <c r="AN58" s="28">
        <f t="shared" si="39"/>
        <v>45162</v>
      </c>
      <c r="AO58" s="373">
        <f t="shared" si="0"/>
        <v>0</v>
      </c>
      <c r="AP58" s="374">
        <f t="shared" si="1"/>
        <v>0</v>
      </c>
      <c r="AQ58" s="27">
        <f t="shared" si="2"/>
        <v>0</v>
      </c>
      <c r="AR58" s="25">
        <f t="shared" si="3"/>
        <v>0</v>
      </c>
      <c r="AS58" s="25">
        <f t="shared" si="4"/>
        <v>0</v>
      </c>
      <c r="AT58" s="25">
        <f t="shared" si="5"/>
        <v>0</v>
      </c>
      <c r="AU58" s="29">
        <f t="shared" si="85"/>
        <v>0</v>
      </c>
      <c r="AV58" s="27">
        <f t="shared" si="40"/>
        <v>0</v>
      </c>
      <c r="AW58" s="27">
        <f t="shared" si="41"/>
        <v>0</v>
      </c>
      <c r="AX58" s="27">
        <f t="shared" si="42"/>
        <v>0</v>
      </c>
      <c r="AY58" s="27">
        <f t="shared" si="43"/>
        <v>0</v>
      </c>
      <c r="BH58" s="2">
        <f t="shared" si="51"/>
        <v>0</v>
      </c>
      <c r="BI58" s="298" t="str">
        <f t="shared" si="87"/>
        <v/>
      </c>
      <c r="BJ58" s="298" t="str">
        <f t="shared" si="52"/>
        <v/>
      </c>
      <c r="BQ58" s="4">
        <f t="shared" si="55"/>
        <v>45162</v>
      </c>
      <c r="BR58" s="112">
        <f t="shared" si="56"/>
        <v>0</v>
      </c>
      <c r="BS58" s="112">
        <f t="shared" si="57"/>
        <v>0</v>
      </c>
      <c r="BT58" s="112">
        <f t="shared" si="58"/>
        <v>0</v>
      </c>
      <c r="BU58" s="112">
        <f t="shared" si="59"/>
        <v>0</v>
      </c>
      <c r="BV58" s="112">
        <f t="shared" si="60"/>
        <v>0</v>
      </c>
      <c r="CI58" s="4">
        <f t="shared" si="65"/>
        <v>45162</v>
      </c>
      <c r="CJ58" s="50">
        <f ca="1">IF($BH58=0,IF($CO58="",CJ57+R58,IF('283'!$K$251=1,VLOOKUP($CO58,PerStBal,2)+R58,IF('283'!$K$253=1,(VLOOKUP($CO58,PerPortion,2)*VLOOKUP($CO58,PerStBal,6))+R58,GL!BS58))),0)</f>
        <v>0</v>
      </c>
      <c r="CK58" s="425">
        <f ca="1">IF($BH58=0,IF($CO58="",CK57+T58,IF('283'!$K$251=1,IF(mname2&lt;&gt;"",VLOOKUP($CO58,PerStBal,3)+T58,0),IF('283'!$K$253=1,(VLOOKUP($CO58,PerPortion,3)*VLOOKUP($CO58,PerStBal,6))+T58,GL!BT58))),0)</f>
        <v>0</v>
      </c>
      <c r="CL58" s="425">
        <f ca="1">IF($BH58=0,IF($CO58="",CL57+V58,IF('283'!$K$251=1,IF(mname3&lt;&gt;"",VLOOKUP($CO58,PerStBal,4)+V58,0),IF('283'!$K$253=1,(VLOOKUP($CO58,PerPortion,4)*VLOOKUP($CO58,PerStBal,6))+V58,GL!BU58))),0)</f>
        <v>0</v>
      </c>
      <c r="CM58" s="425">
        <f ca="1">IF($BH58=0,IF($CO58="",CM57+X58,IF('283'!$K$251=1,IF(mname4&lt;&gt;"",VLOOKUP($CO58,PerStBal,5)+X58,0),IF('283'!$K$253=1,(VLOOKUP($CO58,PerPortion,5)*VLOOKUP($CO58,PerStBal,6))+X58,GL!BV58))),0)</f>
        <v>0</v>
      </c>
      <c r="CN58" s="50">
        <f t="shared" ca="1" si="66"/>
        <v>0</v>
      </c>
      <c r="CO58" s="4" t="str">
        <f t="shared" ca="1" si="67"/>
        <v/>
      </c>
      <c r="CP58" s="377">
        <f t="shared" si="7"/>
        <v>0</v>
      </c>
      <c r="DI58" s="4">
        <f t="shared" si="70"/>
        <v>45162</v>
      </c>
      <c r="DJ58" s="112">
        <f t="shared" ca="1" si="71"/>
        <v>0</v>
      </c>
      <c r="DK58" s="112">
        <f t="shared" si="72"/>
        <v>0</v>
      </c>
      <c r="DL58" s="4">
        <f t="shared" si="73"/>
        <v>45162</v>
      </c>
      <c r="DM58" s="112">
        <f t="shared" ca="1" si="74"/>
        <v>0</v>
      </c>
      <c r="DN58" s="112">
        <f t="shared" si="75"/>
        <v>0</v>
      </c>
      <c r="DO58" s="4">
        <f t="shared" si="76"/>
        <v>45162</v>
      </c>
      <c r="DP58" s="112">
        <f t="shared" ca="1" si="77"/>
        <v>0</v>
      </c>
      <c r="DQ58" s="112">
        <f t="shared" si="78"/>
        <v>0</v>
      </c>
      <c r="DR58" s="4">
        <f t="shared" si="79"/>
        <v>45162</v>
      </c>
      <c r="DS58" s="112">
        <f t="shared" ca="1" si="80"/>
        <v>0</v>
      </c>
      <c r="DT58" s="112">
        <f t="shared" si="81"/>
        <v>0</v>
      </c>
      <c r="DU58" s="4">
        <f t="shared" si="82"/>
        <v>45162</v>
      </c>
      <c r="DV58" s="112">
        <f t="shared" si="83"/>
        <v>0</v>
      </c>
      <c r="DW58" s="112">
        <f t="shared" si="84"/>
        <v>0</v>
      </c>
    </row>
    <row r="59" spans="2:127" x14ac:dyDescent="0.25">
      <c r="B59" s="39" t="str">
        <f>IF(LEFT('283'!B166,1)="R","Benefits Paid","")</f>
        <v/>
      </c>
      <c r="C59" s="3" t="str">
        <f>IF(B59&lt;&gt;"",IF('283'!C166&lt;&gt;"",'283'!C166,""),"")</f>
        <v/>
      </c>
      <c r="D59" s="40" t="str">
        <f>IF($B59&lt;&gt;"",IF('283'!D166&lt;&gt;"",'283'!D166,""),"")</f>
        <v/>
      </c>
      <c r="E59" s="40" t="str">
        <f>IF($B59&lt;&gt;"",IF('283'!E166&lt;&gt;"",'283'!E166,""),"")</f>
        <v/>
      </c>
      <c r="F59" s="40" t="str">
        <f>IF($B59&lt;&gt;"",IF('283'!F166&lt;&gt;"",'283'!F166,""),"")</f>
        <v/>
      </c>
      <c r="G59" s="41" t="str">
        <f>IF($B59&lt;&gt;"",IF('283'!G166&lt;&gt;"",'283'!G166,""),"")</f>
        <v/>
      </c>
      <c r="H59" s="23">
        <v>55</v>
      </c>
      <c r="I59" s="42" t="str">
        <f>IF(AND(LEFT('283'!B166,1)&lt;&gt;"R",LEFT('283'!B166,1)&lt;&gt;""),'283'!B166,"")</f>
        <v/>
      </c>
      <c r="J59" s="3" t="str">
        <f>IF(I59&lt;&gt;"",IF('283'!C166&lt;&gt;"",'283'!C166,""),"")</f>
        <v/>
      </c>
      <c r="K59" s="40" t="str">
        <f>IF($I59&lt;&gt;"",IF('283'!D166&lt;&gt;"",IF(LEFT($I59,1)="N",-'283'!D166,'283'!D166),""),"")</f>
        <v/>
      </c>
      <c r="L59" s="40" t="str">
        <f>IF($I59&lt;&gt;"",IF('283'!E166&lt;&gt;"",IF(LEFT($I59,1)="N",-'283'!E166,'283'!E166),""),"")</f>
        <v/>
      </c>
      <c r="M59" s="40" t="str">
        <f>IF($I59&lt;&gt;"",IF('283'!F166&lt;&gt;"",IF(LEFT($I59,1)="N",-'283'!F166,'283'!F166),""),"")</f>
        <v/>
      </c>
      <c r="N59" s="40" t="str">
        <f>IF($I59&lt;&gt;"",IF('283'!G166&lt;&gt;"",IF(LEFT($I59,1)="N",-'283'!G166,'283'!G166),""),"")</f>
        <v/>
      </c>
      <c r="O59" s="43"/>
      <c r="P59" s="38"/>
      <c r="Q59" s="4">
        <f t="shared" si="16"/>
        <v>45163</v>
      </c>
      <c r="R59" s="24">
        <f t="shared" si="17"/>
        <v>0</v>
      </c>
      <c r="S59" s="25">
        <f t="shared" si="18"/>
        <v>0</v>
      </c>
      <c r="T59" s="24">
        <f t="shared" si="19"/>
        <v>0</v>
      </c>
      <c r="U59" s="25">
        <f t="shared" si="20"/>
        <v>0</v>
      </c>
      <c r="V59" s="24">
        <f t="shared" si="21"/>
        <v>0</v>
      </c>
      <c r="W59" s="25">
        <f t="shared" si="22"/>
        <v>0</v>
      </c>
      <c r="X59" s="24">
        <f t="shared" si="23"/>
        <v>0</v>
      </c>
      <c r="Y59" s="26">
        <f t="shared" si="24"/>
        <v>0</v>
      </c>
      <c r="Z59" s="27">
        <f t="shared" si="25"/>
        <v>0</v>
      </c>
      <c r="AA59" s="28">
        <f t="shared" si="26"/>
        <v>45163</v>
      </c>
      <c r="AB59" s="24">
        <f t="shared" si="27"/>
        <v>0</v>
      </c>
      <c r="AC59" s="25">
        <f t="shared" si="28"/>
        <v>0</v>
      </c>
      <c r="AD59" s="28">
        <f t="shared" si="29"/>
        <v>45163</v>
      </c>
      <c r="AE59" s="24">
        <f t="shared" si="30"/>
        <v>0</v>
      </c>
      <c r="AF59" s="25">
        <f t="shared" si="31"/>
        <v>0</v>
      </c>
      <c r="AG59" s="28">
        <f t="shared" si="32"/>
        <v>45163</v>
      </c>
      <c r="AH59" s="24">
        <f t="shared" si="33"/>
        <v>0</v>
      </c>
      <c r="AI59" s="25">
        <f t="shared" si="34"/>
        <v>0</v>
      </c>
      <c r="AJ59" s="28">
        <f t="shared" si="35"/>
        <v>45163</v>
      </c>
      <c r="AK59" s="24">
        <f t="shared" si="36"/>
        <v>0</v>
      </c>
      <c r="AL59" s="25">
        <f t="shared" si="37"/>
        <v>0</v>
      </c>
      <c r="AM59" s="29">
        <f t="shared" si="38"/>
        <v>0</v>
      </c>
      <c r="AN59" s="28">
        <f t="shared" si="39"/>
        <v>45163</v>
      </c>
      <c r="AO59" s="373">
        <f t="shared" si="0"/>
        <v>0</v>
      </c>
      <c r="AP59" s="374">
        <f t="shared" si="1"/>
        <v>0</v>
      </c>
      <c r="AQ59" s="27">
        <f t="shared" si="2"/>
        <v>0</v>
      </c>
      <c r="AR59" s="25">
        <f t="shared" si="3"/>
        <v>0</v>
      </c>
      <c r="AS59" s="25">
        <f t="shared" si="4"/>
        <v>0</v>
      </c>
      <c r="AT59" s="25">
        <f t="shared" si="5"/>
        <v>0</v>
      </c>
      <c r="AU59" s="29">
        <f t="shared" si="85"/>
        <v>0</v>
      </c>
      <c r="AV59" s="27">
        <f t="shared" si="40"/>
        <v>0</v>
      </c>
      <c r="AW59" s="27">
        <f t="shared" si="41"/>
        <v>0</v>
      </c>
      <c r="AX59" s="27">
        <f t="shared" si="42"/>
        <v>0</v>
      </c>
      <c r="AY59" s="27">
        <f t="shared" si="43"/>
        <v>0</v>
      </c>
      <c r="BH59" s="2">
        <f t="shared" si="51"/>
        <v>0</v>
      </c>
      <c r="BI59" s="298" t="str">
        <f t="shared" si="87"/>
        <v/>
      </c>
      <c r="BJ59" s="298" t="str">
        <f t="shared" si="52"/>
        <v/>
      </c>
      <c r="BQ59" s="4">
        <f t="shared" si="55"/>
        <v>45163</v>
      </c>
      <c r="BR59" s="112">
        <f t="shared" si="56"/>
        <v>0</v>
      </c>
      <c r="BS59" s="112">
        <f t="shared" si="57"/>
        <v>0</v>
      </c>
      <c r="BT59" s="112">
        <f t="shared" si="58"/>
        <v>0</v>
      </c>
      <c r="BU59" s="112">
        <f t="shared" si="59"/>
        <v>0</v>
      </c>
      <c r="BV59" s="112">
        <f t="shared" si="60"/>
        <v>0</v>
      </c>
      <c r="CI59" s="4">
        <f t="shared" si="65"/>
        <v>45163</v>
      </c>
      <c r="CJ59" s="50">
        <f ca="1">IF($BH59=0,IF($CO59="",CJ58+R59,IF('283'!$K$251=1,VLOOKUP($CO59,PerStBal,2)+R59,IF('283'!$K$253=1,(VLOOKUP($CO59,PerPortion,2)*VLOOKUP($CO59,PerStBal,6))+R59,GL!BS59))),0)</f>
        <v>0</v>
      </c>
      <c r="CK59" s="425">
        <f ca="1">IF($BH59=0,IF($CO59="",CK58+T59,IF('283'!$K$251=1,IF(mname2&lt;&gt;"",VLOOKUP($CO59,PerStBal,3)+T59,0),IF('283'!$K$253=1,(VLOOKUP($CO59,PerPortion,3)*VLOOKUP($CO59,PerStBal,6))+T59,GL!BT59))),0)</f>
        <v>0</v>
      </c>
      <c r="CL59" s="425">
        <f ca="1">IF($BH59=0,IF($CO59="",CL58+V59,IF('283'!$K$251=1,IF(mname3&lt;&gt;"",VLOOKUP($CO59,PerStBal,4)+V59,0),IF('283'!$K$253=1,(VLOOKUP($CO59,PerPortion,4)*VLOOKUP($CO59,PerStBal,6))+V59,GL!BU59))),0)</f>
        <v>0</v>
      </c>
      <c r="CM59" s="425">
        <f ca="1">IF($BH59=0,IF($CO59="",CM58+X59,IF('283'!$K$251=1,IF(mname4&lt;&gt;"",VLOOKUP($CO59,PerStBal,5)+X59,0),IF('283'!$K$253=1,(VLOOKUP($CO59,PerPortion,5)*VLOOKUP($CO59,PerStBal,6))+X59,GL!BV59))),0)</f>
        <v>0</v>
      </c>
      <c r="CN59" s="50">
        <f t="shared" ca="1" si="66"/>
        <v>0</v>
      </c>
      <c r="CO59" s="4" t="str">
        <f t="shared" ca="1" si="67"/>
        <v/>
      </c>
      <c r="CP59" s="377">
        <f t="shared" si="7"/>
        <v>0</v>
      </c>
      <c r="DI59" s="4">
        <f t="shared" si="70"/>
        <v>45163</v>
      </c>
      <c r="DJ59" s="112">
        <f t="shared" ca="1" si="71"/>
        <v>0</v>
      </c>
      <c r="DK59" s="112">
        <f t="shared" si="72"/>
        <v>0</v>
      </c>
      <c r="DL59" s="4">
        <f t="shared" si="73"/>
        <v>45163</v>
      </c>
      <c r="DM59" s="112">
        <f t="shared" ca="1" si="74"/>
        <v>0</v>
      </c>
      <c r="DN59" s="112">
        <f t="shared" si="75"/>
        <v>0</v>
      </c>
      <c r="DO59" s="4">
        <f t="shared" si="76"/>
        <v>45163</v>
      </c>
      <c r="DP59" s="112">
        <f t="shared" ca="1" si="77"/>
        <v>0</v>
      </c>
      <c r="DQ59" s="112">
        <f t="shared" si="78"/>
        <v>0</v>
      </c>
      <c r="DR59" s="4">
        <f t="shared" si="79"/>
        <v>45163</v>
      </c>
      <c r="DS59" s="112">
        <f t="shared" ca="1" si="80"/>
        <v>0</v>
      </c>
      <c r="DT59" s="112">
        <f t="shared" si="81"/>
        <v>0</v>
      </c>
      <c r="DU59" s="4">
        <f t="shared" si="82"/>
        <v>45163</v>
      </c>
      <c r="DV59" s="112">
        <f t="shared" si="83"/>
        <v>0</v>
      </c>
      <c r="DW59" s="112">
        <f t="shared" si="84"/>
        <v>0</v>
      </c>
    </row>
    <row r="60" spans="2:127" x14ac:dyDescent="0.25">
      <c r="B60" s="39" t="str">
        <f>IF(LEFT('283'!B167,1)="R","Benefits Paid","")</f>
        <v/>
      </c>
      <c r="C60" s="3" t="str">
        <f>IF(B60&lt;&gt;"",IF('283'!C167&lt;&gt;"",'283'!C167,""),"")</f>
        <v/>
      </c>
      <c r="D60" s="40" t="str">
        <f>IF($B60&lt;&gt;"",IF('283'!D167&lt;&gt;"",'283'!D167,""),"")</f>
        <v/>
      </c>
      <c r="E60" s="40" t="str">
        <f>IF($B60&lt;&gt;"",IF('283'!E167&lt;&gt;"",'283'!E167,""),"")</f>
        <v/>
      </c>
      <c r="F60" s="40" t="str">
        <f>IF($B60&lt;&gt;"",IF('283'!F167&lt;&gt;"",'283'!F167,""),"")</f>
        <v/>
      </c>
      <c r="G60" s="41" t="str">
        <f>IF($B60&lt;&gt;"",IF('283'!G167&lt;&gt;"",'283'!G167,""),"")</f>
        <v/>
      </c>
      <c r="H60" s="23">
        <v>56</v>
      </c>
      <c r="I60" s="42" t="str">
        <f>IF(AND(LEFT('283'!B167,1)&lt;&gt;"R",LEFT('283'!B167,1)&lt;&gt;""),'283'!B167,"")</f>
        <v/>
      </c>
      <c r="J60" s="3" t="str">
        <f>IF(I60&lt;&gt;"",IF('283'!C167&lt;&gt;"",'283'!C167,""),"")</f>
        <v/>
      </c>
      <c r="K60" s="40" t="str">
        <f>IF($I60&lt;&gt;"",IF('283'!D167&lt;&gt;"",IF(LEFT($I60,1)="N",-'283'!D167,'283'!D167),""),"")</f>
        <v/>
      </c>
      <c r="L60" s="40" t="str">
        <f>IF($I60&lt;&gt;"",IF('283'!E167&lt;&gt;"",IF(LEFT($I60,1)="N",-'283'!E167,'283'!E167),""),"")</f>
        <v/>
      </c>
      <c r="M60" s="40" t="str">
        <f>IF($I60&lt;&gt;"",IF('283'!F167&lt;&gt;"",IF(LEFT($I60,1)="N",-'283'!F167,'283'!F167),""),"")</f>
        <v/>
      </c>
      <c r="N60" s="40" t="str">
        <f>IF($I60&lt;&gt;"",IF('283'!G167&lt;&gt;"",IF(LEFT($I60,1)="N",-'283'!G167,'283'!G167),""),"")</f>
        <v/>
      </c>
      <c r="O60" s="43"/>
      <c r="P60" s="38"/>
      <c r="Q60" s="4">
        <f t="shared" si="16"/>
        <v>45164</v>
      </c>
      <c r="R60" s="24">
        <f t="shared" si="17"/>
        <v>0</v>
      </c>
      <c r="S60" s="25">
        <f t="shared" si="18"/>
        <v>0</v>
      </c>
      <c r="T60" s="24">
        <f t="shared" si="19"/>
        <v>0</v>
      </c>
      <c r="U60" s="25">
        <f t="shared" si="20"/>
        <v>0</v>
      </c>
      <c r="V60" s="24">
        <f t="shared" si="21"/>
        <v>0</v>
      </c>
      <c r="W60" s="25">
        <f t="shared" si="22"/>
        <v>0</v>
      </c>
      <c r="X60" s="24">
        <f t="shared" si="23"/>
        <v>0</v>
      </c>
      <c r="Y60" s="26">
        <f t="shared" si="24"/>
        <v>0</v>
      </c>
      <c r="Z60" s="27">
        <f t="shared" si="25"/>
        <v>0</v>
      </c>
      <c r="AA60" s="28">
        <f t="shared" si="26"/>
        <v>45164</v>
      </c>
      <c r="AB60" s="24">
        <f t="shared" si="27"/>
        <v>0</v>
      </c>
      <c r="AC60" s="25">
        <f t="shared" si="28"/>
        <v>0</v>
      </c>
      <c r="AD60" s="28">
        <f t="shared" si="29"/>
        <v>45164</v>
      </c>
      <c r="AE60" s="24">
        <f t="shared" si="30"/>
        <v>0</v>
      </c>
      <c r="AF60" s="25">
        <f t="shared" si="31"/>
        <v>0</v>
      </c>
      <c r="AG60" s="28">
        <f t="shared" si="32"/>
        <v>45164</v>
      </c>
      <c r="AH60" s="24">
        <f t="shared" si="33"/>
        <v>0</v>
      </c>
      <c r="AI60" s="25">
        <f t="shared" si="34"/>
        <v>0</v>
      </c>
      <c r="AJ60" s="28">
        <f t="shared" si="35"/>
        <v>45164</v>
      </c>
      <c r="AK60" s="24">
        <f t="shared" si="36"/>
        <v>0</v>
      </c>
      <c r="AL60" s="25">
        <f t="shared" si="37"/>
        <v>0</v>
      </c>
      <c r="AM60" s="29">
        <f t="shared" si="38"/>
        <v>0</v>
      </c>
      <c r="AN60" s="28">
        <f t="shared" si="39"/>
        <v>45164</v>
      </c>
      <c r="AO60" s="373">
        <f t="shared" si="0"/>
        <v>0</v>
      </c>
      <c r="AP60" s="374">
        <f t="shared" si="1"/>
        <v>0</v>
      </c>
      <c r="AQ60" s="27">
        <f t="shared" si="2"/>
        <v>0</v>
      </c>
      <c r="AR60" s="25">
        <f t="shared" si="3"/>
        <v>0</v>
      </c>
      <c r="AS60" s="25">
        <f t="shared" si="4"/>
        <v>0</v>
      </c>
      <c r="AT60" s="25">
        <f t="shared" si="5"/>
        <v>0</v>
      </c>
      <c r="AU60" s="29">
        <f t="shared" si="85"/>
        <v>0</v>
      </c>
      <c r="AV60" s="27">
        <f t="shared" si="40"/>
        <v>0</v>
      </c>
      <c r="AW60" s="27">
        <f t="shared" si="41"/>
        <v>0</v>
      </c>
      <c r="AX60" s="27">
        <f t="shared" si="42"/>
        <v>0</v>
      </c>
      <c r="AY60" s="27">
        <f t="shared" si="43"/>
        <v>0</v>
      </c>
      <c r="BH60" s="2">
        <f t="shared" si="51"/>
        <v>0</v>
      </c>
      <c r="BI60" s="298" t="str">
        <f t="shared" si="87"/>
        <v/>
      </c>
      <c r="BJ60" s="298" t="str">
        <f t="shared" si="52"/>
        <v/>
      </c>
      <c r="BQ60" s="4">
        <f t="shared" si="55"/>
        <v>45164</v>
      </c>
      <c r="BR60" s="112">
        <f t="shared" si="56"/>
        <v>0</v>
      </c>
      <c r="BS60" s="112">
        <f t="shared" si="57"/>
        <v>0</v>
      </c>
      <c r="BT60" s="112">
        <f t="shared" si="58"/>
        <v>0</v>
      </c>
      <c r="BU60" s="112">
        <f t="shared" si="59"/>
        <v>0</v>
      </c>
      <c r="BV60" s="112">
        <f t="shared" si="60"/>
        <v>0</v>
      </c>
      <c r="CI60" s="4">
        <f t="shared" si="65"/>
        <v>45164</v>
      </c>
      <c r="CJ60" s="50">
        <f ca="1">IF($BH60=0,IF($CO60="",CJ59+R60,IF('283'!$K$251=1,VLOOKUP($CO60,PerStBal,2)+R60,IF('283'!$K$253=1,(VLOOKUP($CO60,PerPortion,2)*VLOOKUP($CO60,PerStBal,6))+R60,GL!BS60))),0)</f>
        <v>0</v>
      </c>
      <c r="CK60" s="425">
        <f ca="1">IF($BH60=0,IF($CO60="",CK59+T60,IF('283'!$K$251=1,IF(mname2&lt;&gt;"",VLOOKUP($CO60,PerStBal,3)+T60,0),IF('283'!$K$253=1,(VLOOKUP($CO60,PerPortion,3)*VLOOKUP($CO60,PerStBal,6))+T60,GL!BT60))),0)</f>
        <v>0</v>
      </c>
      <c r="CL60" s="425">
        <f ca="1">IF($BH60=0,IF($CO60="",CL59+V60,IF('283'!$K$251=1,IF(mname3&lt;&gt;"",VLOOKUP($CO60,PerStBal,4)+V60,0),IF('283'!$K$253=1,(VLOOKUP($CO60,PerPortion,4)*VLOOKUP($CO60,PerStBal,6))+V60,GL!BU60))),0)</f>
        <v>0</v>
      </c>
      <c r="CM60" s="425">
        <f ca="1">IF($BH60=0,IF($CO60="",CM59+X60,IF('283'!$K$251=1,IF(mname4&lt;&gt;"",VLOOKUP($CO60,PerStBal,5)+X60,0),IF('283'!$K$253=1,(VLOOKUP($CO60,PerPortion,5)*VLOOKUP($CO60,PerStBal,6))+X60,GL!BV60))),0)</f>
        <v>0</v>
      </c>
      <c r="CN60" s="50">
        <f t="shared" ca="1" si="66"/>
        <v>0</v>
      </c>
      <c r="CO60" s="4" t="str">
        <f t="shared" ca="1" si="67"/>
        <v/>
      </c>
      <c r="CP60" s="377">
        <f t="shared" si="7"/>
        <v>0</v>
      </c>
      <c r="DI60" s="4">
        <f t="shared" si="70"/>
        <v>45164</v>
      </c>
      <c r="DJ60" s="112">
        <f t="shared" ca="1" si="71"/>
        <v>0</v>
      </c>
      <c r="DK60" s="112">
        <f t="shared" si="72"/>
        <v>0</v>
      </c>
      <c r="DL60" s="4">
        <f t="shared" si="73"/>
        <v>45164</v>
      </c>
      <c r="DM60" s="112">
        <f t="shared" ca="1" si="74"/>
        <v>0</v>
      </c>
      <c r="DN60" s="112">
        <f t="shared" si="75"/>
        <v>0</v>
      </c>
      <c r="DO60" s="4">
        <f t="shared" si="76"/>
        <v>45164</v>
      </c>
      <c r="DP60" s="112">
        <f t="shared" ca="1" si="77"/>
        <v>0</v>
      </c>
      <c r="DQ60" s="112">
        <f t="shared" si="78"/>
        <v>0</v>
      </c>
      <c r="DR60" s="4">
        <f t="shared" si="79"/>
        <v>45164</v>
      </c>
      <c r="DS60" s="112">
        <f t="shared" ca="1" si="80"/>
        <v>0</v>
      </c>
      <c r="DT60" s="112">
        <f t="shared" si="81"/>
        <v>0</v>
      </c>
      <c r="DU60" s="4">
        <f t="shared" si="82"/>
        <v>45164</v>
      </c>
      <c r="DV60" s="112">
        <f t="shared" si="83"/>
        <v>0</v>
      </c>
      <c r="DW60" s="112">
        <f t="shared" si="84"/>
        <v>0</v>
      </c>
    </row>
    <row r="61" spans="2:127" x14ac:dyDescent="0.25">
      <c r="B61" s="39" t="str">
        <f>IF(LEFT('283'!B168,1)="R","Benefits Paid","")</f>
        <v/>
      </c>
      <c r="C61" s="3" t="str">
        <f>IF(B61&lt;&gt;"",IF('283'!C168&lt;&gt;"",'283'!C168,""),"")</f>
        <v/>
      </c>
      <c r="D61" s="40" t="str">
        <f>IF($B61&lt;&gt;"",IF('283'!D168&lt;&gt;"",'283'!D168,""),"")</f>
        <v/>
      </c>
      <c r="E61" s="40" t="str">
        <f>IF($B61&lt;&gt;"",IF('283'!E168&lt;&gt;"",'283'!E168,""),"")</f>
        <v/>
      </c>
      <c r="F61" s="40" t="str">
        <f>IF($B61&lt;&gt;"",IF('283'!F168&lt;&gt;"",'283'!F168,""),"")</f>
        <v/>
      </c>
      <c r="G61" s="41" t="str">
        <f>IF($B61&lt;&gt;"",IF('283'!G168&lt;&gt;"",'283'!G168,""),"")</f>
        <v/>
      </c>
      <c r="H61" s="23">
        <v>57</v>
      </c>
      <c r="I61" s="42" t="str">
        <f>IF(AND(LEFT('283'!B168,1)&lt;&gt;"R",LEFT('283'!B168,1)&lt;&gt;""),'283'!B168,"")</f>
        <v/>
      </c>
      <c r="J61" s="3" t="str">
        <f>IF(I61&lt;&gt;"",IF('283'!C168&lt;&gt;"",'283'!C168,""),"")</f>
        <v/>
      </c>
      <c r="K61" s="40" t="str">
        <f>IF($I61&lt;&gt;"",IF('283'!D168&lt;&gt;"",IF(LEFT($I61,1)="N",-'283'!D168,'283'!D168),""),"")</f>
        <v/>
      </c>
      <c r="L61" s="40" t="str">
        <f>IF($I61&lt;&gt;"",IF('283'!E168&lt;&gt;"",IF(LEFT($I61,1)="N",-'283'!E168,'283'!E168),""),"")</f>
        <v/>
      </c>
      <c r="M61" s="40" t="str">
        <f>IF($I61&lt;&gt;"",IF('283'!F168&lt;&gt;"",IF(LEFT($I61,1)="N",-'283'!F168,'283'!F168),""),"")</f>
        <v/>
      </c>
      <c r="N61" s="40" t="str">
        <f>IF($I61&lt;&gt;"",IF('283'!G168&lt;&gt;"",IF(LEFT($I61,1)="N",-'283'!G168,'283'!G168),""),"")</f>
        <v/>
      </c>
      <c r="O61" s="43"/>
      <c r="P61" s="38"/>
      <c r="Q61" s="4">
        <f t="shared" si="16"/>
        <v>45165</v>
      </c>
      <c r="R61" s="24">
        <f t="shared" si="17"/>
        <v>0</v>
      </c>
      <c r="S61" s="25">
        <f t="shared" si="18"/>
        <v>0</v>
      </c>
      <c r="T61" s="24">
        <f t="shared" si="19"/>
        <v>0</v>
      </c>
      <c r="U61" s="25">
        <f t="shared" si="20"/>
        <v>0</v>
      </c>
      <c r="V61" s="24">
        <f t="shared" si="21"/>
        <v>0</v>
      </c>
      <c r="W61" s="25">
        <f t="shared" si="22"/>
        <v>0</v>
      </c>
      <c r="X61" s="24">
        <f t="shared" si="23"/>
        <v>0</v>
      </c>
      <c r="Y61" s="26">
        <f t="shared" si="24"/>
        <v>0</v>
      </c>
      <c r="Z61" s="27">
        <f t="shared" si="25"/>
        <v>0</v>
      </c>
      <c r="AA61" s="28">
        <f t="shared" si="26"/>
        <v>45165</v>
      </c>
      <c r="AB61" s="24">
        <f t="shared" si="27"/>
        <v>0</v>
      </c>
      <c r="AC61" s="25">
        <f t="shared" si="28"/>
        <v>0</v>
      </c>
      <c r="AD61" s="28">
        <f t="shared" si="29"/>
        <v>45165</v>
      </c>
      <c r="AE61" s="24">
        <f t="shared" si="30"/>
        <v>0</v>
      </c>
      <c r="AF61" s="25">
        <f t="shared" si="31"/>
        <v>0</v>
      </c>
      <c r="AG61" s="28">
        <f t="shared" si="32"/>
        <v>45165</v>
      </c>
      <c r="AH61" s="24">
        <f t="shared" si="33"/>
        <v>0</v>
      </c>
      <c r="AI61" s="25">
        <f t="shared" si="34"/>
        <v>0</v>
      </c>
      <c r="AJ61" s="28">
        <f t="shared" si="35"/>
        <v>45165</v>
      </c>
      <c r="AK61" s="24">
        <f t="shared" si="36"/>
        <v>0</v>
      </c>
      <c r="AL61" s="25">
        <f t="shared" si="37"/>
        <v>0</v>
      </c>
      <c r="AM61" s="29">
        <f t="shared" si="38"/>
        <v>0</v>
      </c>
      <c r="AN61" s="28">
        <f t="shared" si="39"/>
        <v>45165</v>
      </c>
      <c r="AO61" s="373">
        <f t="shared" si="0"/>
        <v>0</v>
      </c>
      <c r="AP61" s="374">
        <f t="shared" si="1"/>
        <v>0</v>
      </c>
      <c r="AQ61" s="27">
        <f t="shared" si="2"/>
        <v>0</v>
      </c>
      <c r="AR61" s="25">
        <f t="shared" si="3"/>
        <v>0</v>
      </c>
      <c r="AS61" s="25">
        <f t="shared" si="4"/>
        <v>0</v>
      </c>
      <c r="AT61" s="25">
        <f t="shared" si="5"/>
        <v>0</v>
      </c>
      <c r="AU61" s="29">
        <f t="shared" si="85"/>
        <v>0</v>
      </c>
      <c r="AV61" s="27">
        <f t="shared" si="40"/>
        <v>0</v>
      </c>
      <c r="AW61" s="27">
        <f t="shared" si="41"/>
        <v>0</v>
      </c>
      <c r="AX61" s="27">
        <f t="shared" si="42"/>
        <v>0</v>
      </c>
      <c r="AY61" s="27">
        <f t="shared" si="43"/>
        <v>0</v>
      </c>
      <c r="BH61" s="2">
        <f t="shared" si="51"/>
        <v>0</v>
      </c>
      <c r="BI61" s="298" t="str">
        <f t="shared" si="87"/>
        <v/>
      </c>
      <c r="BJ61" s="298" t="str">
        <f t="shared" si="52"/>
        <v/>
      </c>
      <c r="BQ61" s="4">
        <f t="shared" si="55"/>
        <v>45165</v>
      </c>
      <c r="BR61" s="112">
        <f t="shared" si="56"/>
        <v>0</v>
      </c>
      <c r="BS61" s="112">
        <f t="shared" si="57"/>
        <v>0</v>
      </c>
      <c r="BT61" s="112">
        <f t="shared" si="58"/>
        <v>0</v>
      </c>
      <c r="BU61" s="112">
        <f t="shared" si="59"/>
        <v>0</v>
      </c>
      <c r="BV61" s="112">
        <f t="shared" si="60"/>
        <v>0</v>
      </c>
      <c r="CI61" s="4">
        <f t="shared" si="65"/>
        <v>45165</v>
      </c>
      <c r="CJ61" s="50">
        <f ca="1">IF($BH61=0,IF($CO61="",CJ60+R61,IF('283'!$K$251=1,VLOOKUP($CO61,PerStBal,2)+R61,IF('283'!$K$253=1,(VLOOKUP($CO61,PerPortion,2)*VLOOKUP($CO61,PerStBal,6))+R61,GL!BS61))),0)</f>
        <v>0</v>
      </c>
      <c r="CK61" s="425">
        <f ca="1">IF($BH61=0,IF($CO61="",CK60+T61,IF('283'!$K$251=1,IF(mname2&lt;&gt;"",VLOOKUP($CO61,PerStBal,3)+T61,0),IF('283'!$K$253=1,(VLOOKUP($CO61,PerPortion,3)*VLOOKUP($CO61,PerStBal,6))+T61,GL!BT61))),0)</f>
        <v>0</v>
      </c>
      <c r="CL61" s="425">
        <f ca="1">IF($BH61=0,IF($CO61="",CL60+V61,IF('283'!$K$251=1,IF(mname3&lt;&gt;"",VLOOKUP($CO61,PerStBal,4)+V61,0),IF('283'!$K$253=1,(VLOOKUP($CO61,PerPortion,4)*VLOOKUP($CO61,PerStBal,6))+V61,GL!BU61))),0)</f>
        <v>0</v>
      </c>
      <c r="CM61" s="425">
        <f ca="1">IF($BH61=0,IF($CO61="",CM60+X61,IF('283'!$K$251=1,IF(mname4&lt;&gt;"",VLOOKUP($CO61,PerStBal,5)+X61,0),IF('283'!$K$253=1,(VLOOKUP($CO61,PerPortion,5)*VLOOKUP($CO61,PerStBal,6))+X61,GL!BV61))),0)</f>
        <v>0</v>
      </c>
      <c r="CN61" s="50">
        <f t="shared" ca="1" si="66"/>
        <v>0</v>
      </c>
      <c r="CO61" s="4" t="str">
        <f t="shared" ca="1" si="67"/>
        <v/>
      </c>
      <c r="CP61" s="377">
        <f t="shared" si="7"/>
        <v>0</v>
      </c>
      <c r="DI61" s="4">
        <f t="shared" si="70"/>
        <v>45165</v>
      </c>
      <c r="DJ61" s="112">
        <f t="shared" ca="1" si="71"/>
        <v>0</v>
      </c>
      <c r="DK61" s="112">
        <f t="shared" si="72"/>
        <v>0</v>
      </c>
      <c r="DL61" s="4">
        <f t="shared" si="73"/>
        <v>45165</v>
      </c>
      <c r="DM61" s="112">
        <f t="shared" ca="1" si="74"/>
        <v>0</v>
      </c>
      <c r="DN61" s="112">
        <f t="shared" si="75"/>
        <v>0</v>
      </c>
      <c r="DO61" s="4">
        <f t="shared" si="76"/>
        <v>45165</v>
      </c>
      <c r="DP61" s="112">
        <f t="shared" ca="1" si="77"/>
        <v>0</v>
      </c>
      <c r="DQ61" s="112">
        <f t="shared" si="78"/>
        <v>0</v>
      </c>
      <c r="DR61" s="4">
        <f t="shared" si="79"/>
        <v>45165</v>
      </c>
      <c r="DS61" s="112">
        <f t="shared" ca="1" si="80"/>
        <v>0</v>
      </c>
      <c r="DT61" s="112">
        <f t="shared" si="81"/>
        <v>0</v>
      </c>
      <c r="DU61" s="4">
        <f t="shared" si="82"/>
        <v>45165</v>
      </c>
      <c r="DV61" s="112">
        <f t="shared" si="83"/>
        <v>0</v>
      </c>
      <c r="DW61" s="112">
        <f t="shared" si="84"/>
        <v>0</v>
      </c>
    </row>
    <row r="62" spans="2:127" x14ac:dyDescent="0.25">
      <c r="B62" s="39" t="str">
        <f>IF(LEFT('283'!B169,1)="R","Benefits Paid","")</f>
        <v/>
      </c>
      <c r="C62" s="3" t="str">
        <f>IF(B62&lt;&gt;"",IF('283'!C169&lt;&gt;"",'283'!C169,""),"")</f>
        <v/>
      </c>
      <c r="D62" s="40" t="str">
        <f>IF($B62&lt;&gt;"",IF('283'!D169&lt;&gt;"",'283'!D169,""),"")</f>
        <v/>
      </c>
      <c r="E62" s="40" t="str">
        <f>IF($B62&lt;&gt;"",IF('283'!E169&lt;&gt;"",'283'!E169,""),"")</f>
        <v/>
      </c>
      <c r="F62" s="40" t="str">
        <f>IF($B62&lt;&gt;"",IF('283'!F169&lt;&gt;"",'283'!F169,""),"")</f>
        <v/>
      </c>
      <c r="G62" s="41" t="str">
        <f>IF($B62&lt;&gt;"",IF('283'!G169&lt;&gt;"",'283'!G169,""),"")</f>
        <v/>
      </c>
      <c r="H62" s="23">
        <v>58</v>
      </c>
      <c r="I62" s="42" t="str">
        <f>IF(AND(LEFT('283'!B169,1)&lt;&gt;"R",LEFT('283'!B169,1)&lt;&gt;""),'283'!B169,"")</f>
        <v/>
      </c>
      <c r="J62" s="3" t="str">
        <f>IF(I62&lt;&gt;"",IF('283'!C169&lt;&gt;"",'283'!C169,""),"")</f>
        <v/>
      </c>
      <c r="K62" s="40" t="str">
        <f>IF($I62&lt;&gt;"",IF('283'!D169&lt;&gt;"",IF(LEFT($I62,1)="N",-'283'!D169,'283'!D169),""),"")</f>
        <v/>
      </c>
      <c r="L62" s="40" t="str">
        <f>IF($I62&lt;&gt;"",IF('283'!E169&lt;&gt;"",IF(LEFT($I62,1)="N",-'283'!E169,'283'!E169),""),"")</f>
        <v/>
      </c>
      <c r="M62" s="40" t="str">
        <f>IF($I62&lt;&gt;"",IF('283'!F169&lt;&gt;"",IF(LEFT($I62,1)="N",-'283'!F169,'283'!F169),""),"")</f>
        <v/>
      </c>
      <c r="N62" s="40" t="str">
        <f>IF($I62&lt;&gt;"",IF('283'!G169&lt;&gt;"",IF(LEFT($I62,1)="N",-'283'!G169,'283'!G169),""),"")</f>
        <v/>
      </c>
      <c r="O62" s="43"/>
      <c r="P62" s="38"/>
      <c r="Q62" s="4">
        <f t="shared" si="16"/>
        <v>45166</v>
      </c>
      <c r="R62" s="24">
        <f t="shared" si="17"/>
        <v>0</v>
      </c>
      <c r="S62" s="25">
        <f t="shared" si="18"/>
        <v>0</v>
      </c>
      <c r="T62" s="24">
        <f t="shared" si="19"/>
        <v>0</v>
      </c>
      <c r="U62" s="25">
        <f t="shared" si="20"/>
        <v>0</v>
      </c>
      <c r="V62" s="24">
        <f t="shared" si="21"/>
        <v>0</v>
      </c>
      <c r="W62" s="25">
        <f t="shared" si="22"/>
        <v>0</v>
      </c>
      <c r="X62" s="24">
        <f t="shared" si="23"/>
        <v>0</v>
      </c>
      <c r="Y62" s="26">
        <f t="shared" si="24"/>
        <v>0</v>
      </c>
      <c r="Z62" s="27">
        <f t="shared" si="25"/>
        <v>0</v>
      </c>
      <c r="AA62" s="28">
        <f t="shared" si="26"/>
        <v>45166</v>
      </c>
      <c r="AB62" s="24">
        <f t="shared" si="27"/>
        <v>0</v>
      </c>
      <c r="AC62" s="25">
        <f t="shared" si="28"/>
        <v>0</v>
      </c>
      <c r="AD62" s="28">
        <f t="shared" si="29"/>
        <v>45166</v>
      </c>
      <c r="AE62" s="24">
        <f t="shared" si="30"/>
        <v>0</v>
      </c>
      <c r="AF62" s="25">
        <f t="shared" si="31"/>
        <v>0</v>
      </c>
      <c r="AG62" s="28">
        <f t="shared" si="32"/>
        <v>45166</v>
      </c>
      <c r="AH62" s="24">
        <f t="shared" si="33"/>
        <v>0</v>
      </c>
      <c r="AI62" s="25">
        <f t="shared" si="34"/>
        <v>0</v>
      </c>
      <c r="AJ62" s="28">
        <f t="shared" si="35"/>
        <v>45166</v>
      </c>
      <c r="AK62" s="24">
        <f t="shared" si="36"/>
        <v>0</v>
      </c>
      <c r="AL62" s="25">
        <f t="shared" si="37"/>
        <v>0</v>
      </c>
      <c r="AM62" s="29">
        <f t="shared" si="38"/>
        <v>0</v>
      </c>
      <c r="AN62" s="28">
        <f t="shared" si="39"/>
        <v>45166</v>
      </c>
      <c r="AO62" s="373">
        <f t="shared" si="0"/>
        <v>0</v>
      </c>
      <c r="AP62" s="374">
        <f t="shared" si="1"/>
        <v>0</v>
      </c>
      <c r="AQ62" s="27">
        <f t="shared" si="2"/>
        <v>0</v>
      </c>
      <c r="AR62" s="25">
        <f t="shared" si="3"/>
        <v>0</v>
      </c>
      <c r="AS62" s="25">
        <f t="shared" si="4"/>
        <v>0</v>
      </c>
      <c r="AT62" s="25">
        <f t="shared" si="5"/>
        <v>0</v>
      </c>
      <c r="AU62" s="29">
        <f t="shared" si="85"/>
        <v>0</v>
      </c>
      <c r="AV62" s="27">
        <f t="shared" si="40"/>
        <v>0</v>
      </c>
      <c r="AW62" s="27">
        <f t="shared" si="41"/>
        <v>0</v>
      </c>
      <c r="AX62" s="27">
        <f t="shared" si="42"/>
        <v>0</v>
      </c>
      <c r="AY62" s="27">
        <f t="shared" si="43"/>
        <v>0</v>
      </c>
      <c r="BH62" s="2">
        <f t="shared" si="51"/>
        <v>0</v>
      </c>
      <c r="BI62" s="298" t="str">
        <f t="shared" si="87"/>
        <v/>
      </c>
      <c r="BJ62" s="298" t="str">
        <f t="shared" si="52"/>
        <v/>
      </c>
      <c r="BQ62" s="4">
        <f t="shared" si="55"/>
        <v>45166</v>
      </c>
      <c r="BR62" s="112">
        <f t="shared" si="56"/>
        <v>0</v>
      </c>
      <c r="BS62" s="112">
        <f t="shared" si="57"/>
        <v>0</v>
      </c>
      <c r="BT62" s="112">
        <f t="shared" si="58"/>
        <v>0</v>
      </c>
      <c r="BU62" s="112">
        <f t="shared" si="59"/>
        <v>0</v>
      </c>
      <c r="BV62" s="112">
        <f t="shared" si="60"/>
        <v>0</v>
      </c>
      <c r="CI62" s="4">
        <f t="shared" si="65"/>
        <v>45166</v>
      </c>
      <c r="CJ62" s="50">
        <f ca="1">IF($BH62=0,IF($CO62="",CJ61+R62,IF('283'!$K$251=1,VLOOKUP($CO62,PerStBal,2)+R62,IF('283'!$K$253=1,(VLOOKUP($CO62,PerPortion,2)*VLOOKUP($CO62,PerStBal,6))+R62,GL!BS62))),0)</f>
        <v>0</v>
      </c>
      <c r="CK62" s="425">
        <f ca="1">IF($BH62=0,IF($CO62="",CK61+T62,IF('283'!$K$251=1,IF(mname2&lt;&gt;"",VLOOKUP($CO62,PerStBal,3)+T62,0),IF('283'!$K$253=1,(VLOOKUP($CO62,PerPortion,3)*VLOOKUP($CO62,PerStBal,6))+T62,GL!BT62))),0)</f>
        <v>0</v>
      </c>
      <c r="CL62" s="425">
        <f ca="1">IF($BH62=0,IF($CO62="",CL61+V62,IF('283'!$K$251=1,IF(mname3&lt;&gt;"",VLOOKUP($CO62,PerStBal,4)+V62,0),IF('283'!$K$253=1,(VLOOKUP($CO62,PerPortion,4)*VLOOKUP($CO62,PerStBal,6))+V62,GL!BU62))),0)</f>
        <v>0</v>
      </c>
      <c r="CM62" s="425">
        <f ca="1">IF($BH62=0,IF($CO62="",CM61+X62,IF('283'!$K$251=1,IF(mname4&lt;&gt;"",VLOOKUP($CO62,PerStBal,5)+X62,0),IF('283'!$K$253=1,(VLOOKUP($CO62,PerPortion,5)*VLOOKUP($CO62,PerStBal,6))+X62,GL!BV62))),0)</f>
        <v>0</v>
      </c>
      <c r="CN62" s="50">
        <f t="shared" ca="1" si="66"/>
        <v>0</v>
      </c>
      <c r="CO62" s="4" t="str">
        <f t="shared" ca="1" si="67"/>
        <v/>
      </c>
      <c r="CP62" s="377">
        <f t="shared" si="7"/>
        <v>0</v>
      </c>
      <c r="DI62" s="4">
        <f t="shared" si="70"/>
        <v>45166</v>
      </c>
      <c r="DJ62" s="112">
        <f t="shared" ca="1" si="71"/>
        <v>0</v>
      </c>
      <c r="DK62" s="112">
        <f t="shared" si="72"/>
        <v>0</v>
      </c>
      <c r="DL62" s="4">
        <f t="shared" si="73"/>
        <v>45166</v>
      </c>
      <c r="DM62" s="112">
        <f t="shared" ca="1" si="74"/>
        <v>0</v>
      </c>
      <c r="DN62" s="112">
        <f t="shared" si="75"/>
        <v>0</v>
      </c>
      <c r="DO62" s="4">
        <f t="shared" si="76"/>
        <v>45166</v>
      </c>
      <c r="DP62" s="112">
        <f t="shared" ca="1" si="77"/>
        <v>0</v>
      </c>
      <c r="DQ62" s="112">
        <f t="shared" si="78"/>
        <v>0</v>
      </c>
      <c r="DR62" s="4">
        <f t="shared" si="79"/>
        <v>45166</v>
      </c>
      <c r="DS62" s="112">
        <f t="shared" ca="1" si="80"/>
        <v>0</v>
      </c>
      <c r="DT62" s="112">
        <f t="shared" si="81"/>
        <v>0</v>
      </c>
      <c r="DU62" s="4">
        <f t="shared" si="82"/>
        <v>45166</v>
      </c>
      <c r="DV62" s="112">
        <f t="shared" si="83"/>
        <v>0</v>
      </c>
      <c r="DW62" s="112">
        <f t="shared" si="84"/>
        <v>0</v>
      </c>
    </row>
    <row r="63" spans="2:127" x14ac:dyDescent="0.25">
      <c r="B63" s="39" t="str">
        <f>IF(LEFT('283'!B170,1)="R","Benefits Paid","")</f>
        <v/>
      </c>
      <c r="C63" s="3" t="str">
        <f>IF(B63&lt;&gt;"",IF('283'!C170&lt;&gt;"",'283'!C170,""),"")</f>
        <v/>
      </c>
      <c r="D63" s="40" t="str">
        <f>IF($B63&lt;&gt;"",IF('283'!D170&lt;&gt;"",'283'!D170,""),"")</f>
        <v/>
      </c>
      <c r="E63" s="40" t="str">
        <f>IF($B63&lt;&gt;"",IF('283'!E170&lt;&gt;"",'283'!E170,""),"")</f>
        <v/>
      </c>
      <c r="F63" s="40" t="str">
        <f>IF($B63&lt;&gt;"",IF('283'!F170&lt;&gt;"",'283'!F170,""),"")</f>
        <v/>
      </c>
      <c r="G63" s="41" t="str">
        <f>IF($B63&lt;&gt;"",IF('283'!G170&lt;&gt;"",'283'!G170,""),"")</f>
        <v/>
      </c>
      <c r="H63" s="23">
        <v>59</v>
      </c>
      <c r="I63" s="42" t="str">
        <f>IF(AND(LEFT('283'!B170,1)&lt;&gt;"R",LEFT('283'!B170,1)&lt;&gt;""),'283'!B170,"")</f>
        <v/>
      </c>
      <c r="J63" s="3" t="str">
        <f>IF(I63&lt;&gt;"",IF('283'!C170&lt;&gt;"",'283'!C170,""),"")</f>
        <v/>
      </c>
      <c r="K63" s="40" t="str">
        <f>IF($I63&lt;&gt;"",IF('283'!D170&lt;&gt;"",IF(LEFT($I63,1)="N",-'283'!D170,'283'!D170),""),"")</f>
        <v/>
      </c>
      <c r="L63" s="40" t="str">
        <f>IF($I63&lt;&gt;"",IF('283'!E170&lt;&gt;"",IF(LEFT($I63,1)="N",-'283'!E170,'283'!E170),""),"")</f>
        <v/>
      </c>
      <c r="M63" s="40" t="str">
        <f>IF($I63&lt;&gt;"",IF('283'!F170&lt;&gt;"",IF(LEFT($I63,1)="N",-'283'!F170,'283'!F170),""),"")</f>
        <v/>
      </c>
      <c r="N63" s="40" t="str">
        <f>IF($I63&lt;&gt;"",IF('283'!G170&lt;&gt;"",IF(LEFT($I63,1)="N",-'283'!G170,'283'!G170),""),"")</f>
        <v/>
      </c>
      <c r="O63" s="43"/>
      <c r="P63" s="38"/>
      <c r="Q63" s="4">
        <f t="shared" si="16"/>
        <v>45167</v>
      </c>
      <c r="R63" s="24">
        <f t="shared" si="17"/>
        <v>0</v>
      </c>
      <c r="S63" s="25">
        <f t="shared" si="18"/>
        <v>0</v>
      </c>
      <c r="T63" s="24">
        <f t="shared" si="19"/>
        <v>0</v>
      </c>
      <c r="U63" s="25">
        <f t="shared" si="20"/>
        <v>0</v>
      </c>
      <c r="V63" s="24">
        <f t="shared" si="21"/>
        <v>0</v>
      </c>
      <c r="W63" s="25">
        <f t="shared" si="22"/>
        <v>0</v>
      </c>
      <c r="X63" s="24">
        <f t="shared" si="23"/>
        <v>0</v>
      </c>
      <c r="Y63" s="26">
        <f t="shared" si="24"/>
        <v>0</v>
      </c>
      <c r="Z63" s="27">
        <f t="shared" si="25"/>
        <v>0</v>
      </c>
      <c r="AA63" s="28">
        <f t="shared" si="26"/>
        <v>45167</v>
      </c>
      <c r="AB63" s="24">
        <f t="shared" si="27"/>
        <v>0</v>
      </c>
      <c r="AC63" s="25">
        <f t="shared" si="28"/>
        <v>0</v>
      </c>
      <c r="AD63" s="28">
        <f t="shared" si="29"/>
        <v>45167</v>
      </c>
      <c r="AE63" s="24">
        <f t="shared" si="30"/>
        <v>0</v>
      </c>
      <c r="AF63" s="25">
        <f t="shared" si="31"/>
        <v>0</v>
      </c>
      <c r="AG63" s="28">
        <f t="shared" si="32"/>
        <v>45167</v>
      </c>
      <c r="AH63" s="24">
        <f t="shared" si="33"/>
        <v>0</v>
      </c>
      <c r="AI63" s="25">
        <f t="shared" si="34"/>
        <v>0</v>
      </c>
      <c r="AJ63" s="28">
        <f t="shared" si="35"/>
        <v>45167</v>
      </c>
      <c r="AK63" s="24">
        <f t="shared" si="36"/>
        <v>0</v>
      </c>
      <c r="AL63" s="25">
        <f t="shared" si="37"/>
        <v>0</v>
      </c>
      <c r="AM63" s="29">
        <f t="shared" si="38"/>
        <v>0</v>
      </c>
      <c r="AN63" s="28">
        <f t="shared" si="39"/>
        <v>45167</v>
      </c>
      <c r="AO63" s="373">
        <f t="shared" si="0"/>
        <v>0</v>
      </c>
      <c r="AP63" s="374">
        <f t="shared" si="1"/>
        <v>0</v>
      </c>
      <c r="AQ63" s="27">
        <f t="shared" si="2"/>
        <v>0</v>
      </c>
      <c r="AR63" s="25">
        <f t="shared" si="3"/>
        <v>0</v>
      </c>
      <c r="AS63" s="25">
        <f t="shared" si="4"/>
        <v>0</v>
      </c>
      <c r="AT63" s="25">
        <f t="shared" si="5"/>
        <v>0</v>
      </c>
      <c r="AU63" s="29">
        <f t="shared" si="85"/>
        <v>0</v>
      </c>
      <c r="AV63" s="27">
        <f t="shared" si="40"/>
        <v>0</v>
      </c>
      <c r="AW63" s="27">
        <f t="shared" si="41"/>
        <v>0</v>
      </c>
      <c r="AX63" s="27">
        <f t="shared" si="42"/>
        <v>0</v>
      </c>
      <c r="AY63" s="27">
        <f t="shared" si="43"/>
        <v>0</v>
      </c>
      <c r="BH63" s="2">
        <f t="shared" si="51"/>
        <v>0</v>
      </c>
      <c r="BI63" s="298" t="str">
        <f t="shared" si="87"/>
        <v/>
      </c>
      <c r="BJ63" s="298" t="str">
        <f t="shared" si="52"/>
        <v/>
      </c>
      <c r="BQ63" s="4">
        <f t="shared" si="55"/>
        <v>45167</v>
      </c>
      <c r="BR63" s="112">
        <f t="shared" si="56"/>
        <v>0</v>
      </c>
      <c r="BS63" s="112">
        <f t="shared" si="57"/>
        <v>0</v>
      </c>
      <c r="BT63" s="112">
        <f t="shared" si="58"/>
        <v>0</v>
      </c>
      <c r="BU63" s="112">
        <f t="shared" si="59"/>
        <v>0</v>
      </c>
      <c r="BV63" s="112">
        <f t="shared" si="60"/>
        <v>0</v>
      </c>
      <c r="CI63" s="4">
        <f t="shared" si="65"/>
        <v>45167</v>
      </c>
      <c r="CJ63" s="50">
        <f ca="1">IF($BH63=0,IF($CO63="",CJ62+R63,IF('283'!$K$251=1,VLOOKUP($CO63,PerStBal,2)+R63,IF('283'!$K$253=1,(VLOOKUP($CO63,PerPortion,2)*VLOOKUP($CO63,PerStBal,6))+R63,GL!BS63))),0)</f>
        <v>0</v>
      </c>
      <c r="CK63" s="425">
        <f ca="1">IF($BH63=0,IF($CO63="",CK62+T63,IF('283'!$K$251=1,IF(mname2&lt;&gt;"",VLOOKUP($CO63,PerStBal,3)+T63,0),IF('283'!$K$253=1,(VLOOKUP($CO63,PerPortion,3)*VLOOKUP($CO63,PerStBal,6))+T63,GL!BT63))),0)</f>
        <v>0</v>
      </c>
      <c r="CL63" s="425">
        <f ca="1">IF($BH63=0,IF($CO63="",CL62+V63,IF('283'!$K$251=1,IF(mname3&lt;&gt;"",VLOOKUP($CO63,PerStBal,4)+V63,0),IF('283'!$K$253=1,(VLOOKUP($CO63,PerPortion,4)*VLOOKUP($CO63,PerStBal,6))+V63,GL!BU63))),0)</f>
        <v>0</v>
      </c>
      <c r="CM63" s="425">
        <f ca="1">IF($BH63=0,IF($CO63="",CM62+X63,IF('283'!$K$251=1,IF(mname4&lt;&gt;"",VLOOKUP($CO63,PerStBal,5)+X63,0),IF('283'!$K$253=1,(VLOOKUP($CO63,PerPortion,5)*VLOOKUP($CO63,PerStBal,6))+X63,GL!BV63))),0)</f>
        <v>0</v>
      </c>
      <c r="CN63" s="50">
        <f t="shared" ca="1" si="66"/>
        <v>0</v>
      </c>
      <c r="CO63" s="4" t="str">
        <f t="shared" ca="1" si="67"/>
        <v/>
      </c>
      <c r="CP63" s="377">
        <f t="shared" si="7"/>
        <v>0</v>
      </c>
      <c r="DI63" s="4">
        <f t="shared" si="70"/>
        <v>45167</v>
      </c>
      <c r="DJ63" s="112">
        <f t="shared" ca="1" si="71"/>
        <v>0</v>
      </c>
      <c r="DK63" s="112">
        <f t="shared" si="72"/>
        <v>0</v>
      </c>
      <c r="DL63" s="4">
        <f t="shared" si="73"/>
        <v>45167</v>
      </c>
      <c r="DM63" s="112">
        <f t="shared" ca="1" si="74"/>
        <v>0</v>
      </c>
      <c r="DN63" s="112">
        <f t="shared" si="75"/>
        <v>0</v>
      </c>
      <c r="DO63" s="4">
        <f t="shared" si="76"/>
        <v>45167</v>
      </c>
      <c r="DP63" s="112">
        <f t="shared" ca="1" si="77"/>
        <v>0</v>
      </c>
      <c r="DQ63" s="112">
        <f t="shared" si="78"/>
        <v>0</v>
      </c>
      <c r="DR63" s="4">
        <f t="shared" si="79"/>
        <v>45167</v>
      </c>
      <c r="DS63" s="112">
        <f t="shared" ca="1" si="80"/>
        <v>0</v>
      </c>
      <c r="DT63" s="112">
        <f t="shared" si="81"/>
        <v>0</v>
      </c>
      <c r="DU63" s="4">
        <f t="shared" si="82"/>
        <v>45167</v>
      </c>
      <c r="DV63" s="112">
        <f t="shared" si="83"/>
        <v>0</v>
      </c>
      <c r="DW63" s="112">
        <f t="shared" si="84"/>
        <v>0</v>
      </c>
    </row>
    <row r="64" spans="2:127" x14ac:dyDescent="0.25">
      <c r="B64" s="39" t="str">
        <f>IF(LEFT('283'!B171,1)="R","Benefits Paid","")</f>
        <v/>
      </c>
      <c r="C64" s="3" t="str">
        <f>IF(B64&lt;&gt;"",IF('283'!C171&lt;&gt;"",'283'!C171,""),"")</f>
        <v/>
      </c>
      <c r="D64" s="40" t="str">
        <f>IF($B64&lt;&gt;"",IF('283'!D171&lt;&gt;"",'283'!D171,""),"")</f>
        <v/>
      </c>
      <c r="E64" s="40" t="str">
        <f>IF($B64&lt;&gt;"",IF('283'!E171&lt;&gt;"",'283'!E171,""),"")</f>
        <v/>
      </c>
      <c r="F64" s="40" t="str">
        <f>IF($B64&lt;&gt;"",IF('283'!F171&lt;&gt;"",'283'!F171,""),"")</f>
        <v/>
      </c>
      <c r="G64" s="41" t="str">
        <f>IF($B64&lt;&gt;"",IF('283'!G171&lt;&gt;"",'283'!G171,""),"")</f>
        <v/>
      </c>
      <c r="H64" s="23">
        <v>60</v>
      </c>
      <c r="I64" s="42" t="str">
        <f>IF(AND(LEFT('283'!B171,1)&lt;&gt;"R",LEFT('283'!B171,1)&lt;&gt;""),'283'!B171,"")</f>
        <v/>
      </c>
      <c r="J64" s="3" t="str">
        <f>IF(I64&lt;&gt;"",IF('283'!C171&lt;&gt;"",'283'!C171,""),"")</f>
        <v/>
      </c>
      <c r="K64" s="40" t="str">
        <f>IF($I64&lt;&gt;"",IF('283'!D171&lt;&gt;"",IF(LEFT($I64,1)="N",-'283'!D171,'283'!D171),""),"")</f>
        <v/>
      </c>
      <c r="L64" s="40" t="str">
        <f>IF($I64&lt;&gt;"",IF('283'!E171&lt;&gt;"",IF(LEFT($I64,1)="N",-'283'!E171,'283'!E171),""),"")</f>
        <v/>
      </c>
      <c r="M64" s="40" t="str">
        <f>IF($I64&lt;&gt;"",IF('283'!F171&lt;&gt;"",IF(LEFT($I64,1)="N",-'283'!F171,'283'!F171),""),"")</f>
        <v/>
      </c>
      <c r="N64" s="40" t="str">
        <f>IF($I64&lt;&gt;"",IF('283'!G171&lt;&gt;"",IF(LEFT($I64,1)="N",-'283'!G171,'283'!G171),""),"")</f>
        <v/>
      </c>
      <c r="O64" s="43"/>
      <c r="P64" s="38"/>
      <c r="Q64" s="4">
        <f t="shared" si="16"/>
        <v>45168</v>
      </c>
      <c r="R64" s="24">
        <f t="shared" si="17"/>
        <v>0</v>
      </c>
      <c r="S64" s="25">
        <f t="shared" si="18"/>
        <v>0</v>
      </c>
      <c r="T64" s="24">
        <f t="shared" si="19"/>
        <v>0</v>
      </c>
      <c r="U64" s="25">
        <f t="shared" si="20"/>
        <v>0</v>
      </c>
      <c r="V64" s="24">
        <f t="shared" si="21"/>
        <v>0</v>
      </c>
      <c r="W64" s="25">
        <f t="shared" si="22"/>
        <v>0</v>
      </c>
      <c r="X64" s="24">
        <f t="shared" si="23"/>
        <v>0</v>
      </c>
      <c r="Y64" s="26">
        <f t="shared" si="24"/>
        <v>0</v>
      </c>
      <c r="Z64" s="27">
        <f t="shared" si="25"/>
        <v>0</v>
      </c>
      <c r="AA64" s="28">
        <f t="shared" si="26"/>
        <v>45168</v>
      </c>
      <c r="AB64" s="24">
        <f t="shared" si="27"/>
        <v>0</v>
      </c>
      <c r="AC64" s="25">
        <f t="shared" si="28"/>
        <v>0</v>
      </c>
      <c r="AD64" s="28">
        <f t="shared" si="29"/>
        <v>45168</v>
      </c>
      <c r="AE64" s="24">
        <f t="shared" si="30"/>
        <v>0</v>
      </c>
      <c r="AF64" s="25">
        <f t="shared" si="31"/>
        <v>0</v>
      </c>
      <c r="AG64" s="28">
        <f t="shared" si="32"/>
        <v>45168</v>
      </c>
      <c r="AH64" s="24">
        <f t="shared" si="33"/>
        <v>0</v>
      </c>
      <c r="AI64" s="25">
        <f t="shared" si="34"/>
        <v>0</v>
      </c>
      <c r="AJ64" s="28">
        <f t="shared" si="35"/>
        <v>45168</v>
      </c>
      <c r="AK64" s="24">
        <f t="shared" si="36"/>
        <v>0</v>
      </c>
      <c r="AL64" s="25">
        <f t="shared" si="37"/>
        <v>0</v>
      </c>
      <c r="AM64" s="29">
        <f t="shared" si="38"/>
        <v>0</v>
      </c>
      <c r="AN64" s="28">
        <f t="shared" si="39"/>
        <v>45168</v>
      </c>
      <c r="AO64" s="373">
        <f t="shared" si="0"/>
        <v>0</v>
      </c>
      <c r="AP64" s="374">
        <f t="shared" si="1"/>
        <v>0</v>
      </c>
      <c r="AQ64" s="27">
        <f t="shared" si="2"/>
        <v>0</v>
      </c>
      <c r="AR64" s="25">
        <f t="shared" si="3"/>
        <v>0</v>
      </c>
      <c r="AS64" s="25">
        <f t="shared" si="4"/>
        <v>0</v>
      </c>
      <c r="AT64" s="25">
        <f t="shared" si="5"/>
        <v>0</v>
      </c>
      <c r="AU64" s="29">
        <f t="shared" si="85"/>
        <v>0</v>
      </c>
      <c r="AV64" s="27">
        <f t="shared" si="40"/>
        <v>0</v>
      </c>
      <c r="AW64" s="27">
        <f t="shared" si="41"/>
        <v>0</v>
      </c>
      <c r="AX64" s="27">
        <f t="shared" si="42"/>
        <v>0</v>
      </c>
      <c r="AY64" s="27">
        <f t="shared" si="43"/>
        <v>0</v>
      </c>
      <c r="BH64" s="2">
        <f t="shared" si="51"/>
        <v>0</v>
      </c>
      <c r="BI64" s="298" t="str">
        <f t="shared" si="87"/>
        <v/>
      </c>
      <c r="BJ64" s="298" t="str">
        <f t="shared" si="52"/>
        <v/>
      </c>
      <c r="BQ64" s="4">
        <f t="shared" si="55"/>
        <v>45168</v>
      </c>
      <c r="BR64" s="112">
        <f t="shared" si="56"/>
        <v>0</v>
      </c>
      <c r="BS64" s="112">
        <f t="shared" si="57"/>
        <v>0</v>
      </c>
      <c r="BT64" s="112">
        <f t="shared" si="58"/>
        <v>0</v>
      </c>
      <c r="BU64" s="112">
        <f t="shared" si="59"/>
        <v>0</v>
      </c>
      <c r="BV64" s="112">
        <f t="shared" si="60"/>
        <v>0</v>
      </c>
      <c r="CI64" s="4">
        <f t="shared" si="65"/>
        <v>45168</v>
      </c>
      <c r="CJ64" s="50">
        <f ca="1">IF($BH64=0,IF($CO64="",CJ63+R64,IF('283'!$K$251=1,VLOOKUP($CO64,PerStBal,2)+R64,IF('283'!$K$253=1,(VLOOKUP($CO64,PerPortion,2)*VLOOKUP($CO64,PerStBal,6))+R64,GL!BS64))),0)</f>
        <v>0</v>
      </c>
      <c r="CK64" s="425">
        <f ca="1">IF($BH64=0,IF($CO64="",CK63+T64,IF('283'!$K$251=1,IF(mname2&lt;&gt;"",VLOOKUP($CO64,PerStBal,3)+T64,0),IF('283'!$K$253=1,(VLOOKUP($CO64,PerPortion,3)*VLOOKUP($CO64,PerStBal,6))+T64,GL!BT64))),0)</f>
        <v>0</v>
      </c>
      <c r="CL64" s="425">
        <f ca="1">IF($BH64=0,IF($CO64="",CL63+V64,IF('283'!$K$251=1,IF(mname3&lt;&gt;"",VLOOKUP($CO64,PerStBal,4)+V64,0),IF('283'!$K$253=1,(VLOOKUP($CO64,PerPortion,4)*VLOOKUP($CO64,PerStBal,6))+V64,GL!BU64))),0)</f>
        <v>0</v>
      </c>
      <c r="CM64" s="425">
        <f ca="1">IF($BH64=0,IF($CO64="",CM63+X64,IF('283'!$K$251=1,IF(mname4&lt;&gt;"",VLOOKUP($CO64,PerStBal,5)+X64,0),IF('283'!$K$253=1,(VLOOKUP($CO64,PerPortion,5)*VLOOKUP($CO64,PerStBal,6))+X64,GL!BV64))),0)</f>
        <v>0</v>
      </c>
      <c r="CN64" s="50">
        <f t="shared" ca="1" si="66"/>
        <v>0</v>
      </c>
      <c r="CO64" s="4" t="str">
        <f t="shared" ca="1" si="67"/>
        <v/>
      </c>
      <c r="CP64" s="377">
        <f t="shared" si="7"/>
        <v>0</v>
      </c>
      <c r="DI64" s="4">
        <f t="shared" si="70"/>
        <v>45168</v>
      </c>
      <c r="DJ64" s="112">
        <f t="shared" ca="1" si="71"/>
        <v>0</v>
      </c>
      <c r="DK64" s="112">
        <f t="shared" si="72"/>
        <v>0</v>
      </c>
      <c r="DL64" s="4">
        <f t="shared" si="73"/>
        <v>45168</v>
      </c>
      <c r="DM64" s="112">
        <f t="shared" ca="1" si="74"/>
        <v>0</v>
      </c>
      <c r="DN64" s="112">
        <f t="shared" si="75"/>
        <v>0</v>
      </c>
      <c r="DO64" s="4">
        <f t="shared" si="76"/>
        <v>45168</v>
      </c>
      <c r="DP64" s="112">
        <f t="shared" ca="1" si="77"/>
        <v>0</v>
      </c>
      <c r="DQ64" s="112">
        <f t="shared" si="78"/>
        <v>0</v>
      </c>
      <c r="DR64" s="4">
        <f t="shared" si="79"/>
        <v>45168</v>
      </c>
      <c r="DS64" s="112">
        <f t="shared" ca="1" si="80"/>
        <v>0</v>
      </c>
      <c r="DT64" s="112">
        <f t="shared" si="81"/>
        <v>0</v>
      </c>
      <c r="DU64" s="4">
        <f t="shared" si="82"/>
        <v>45168</v>
      </c>
      <c r="DV64" s="112">
        <f t="shared" si="83"/>
        <v>0</v>
      </c>
      <c r="DW64" s="112">
        <f t="shared" si="84"/>
        <v>0</v>
      </c>
    </row>
    <row r="65" spans="2:127" x14ac:dyDescent="0.25">
      <c r="B65" s="39" t="str">
        <f>IF(LEFT('283'!B172,1)="R","Benefits Paid","")</f>
        <v/>
      </c>
      <c r="C65" s="3" t="str">
        <f>IF(B65&lt;&gt;"",IF('283'!C172&lt;&gt;"",'283'!C172,""),"")</f>
        <v/>
      </c>
      <c r="D65" s="40" t="str">
        <f>IF($B65&lt;&gt;"",IF('283'!D172&lt;&gt;"",'283'!D172,""),"")</f>
        <v/>
      </c>
      <c r="E65" s="40" t="str">
        <f>IF($B65&lt;&gt;"",IF('283'!E172&lt;&gt;"",'283'!E172,""),"")</f>
        <v/>
      </c>
      <c r="F65" s="40" t="str">
        <f>IF($B65&lt;&gt;"",IF('283'!F172&lt;&gt;"",'283'!F172,""),"")</f>
        <v/>
      </c>
      <c r="G65" s="41" t="str">
        <f>IF($B65&lt;&gt;"",IF('283'!G172&lt;&gt;"",'283'!G172,""),"")</f>
        <v/>
      </c>
      <c r="H65" s="23">
        <v>61</v>
      </c>
      <c r="I65" s="42" t="str">
        <f>IF(AND(LEFT('283'!B172,1)&lt;&gt;"R",LEFT('283'!B172,1)&lt;&gt;""),'283'!B172,"")</f>
        <v/>
      </c>
      <c r="J65" s="3" t="str">
        <f>IF(I65&lt;&gt;"",IF('283'!C172&lt;&gt;"",'283'!C172,""),"")</f>
        <v/>
      </c>
      <c r="K65" s="40" t="str">
        <f>IF($I65&lt;&gt;"",IF('283'!D172&lt;&gt;"",IF(LEFT($I65,1)="N",-'283'!D172,'283'!D172),""),"")</f>
        <v/>
      </c>
      <c r="L65" s="40" t="str">
        <f>IF($I65&lt;&gt;"",IF('283'!E172&lt;&gt;"",IF(LEFT($I65,1)="N",-'283'!E172,'283'!E172),""),"")</f>
        <v/>
      </c>
      <c r="M65" s="40" t="str">
        <f>IF($I65&lt;&gt;"",IF('283'!F172&lt;&gt;"",IF(LEFT($I65,1)="N",-'283'!F172,'283'!F172),""),"")</f>
        <v/>
      </c>
      <c r="N65" s="40" t="str">
        <f>IF($I65&lt;&gt;"",IF('283'!G172&lt;&gt;"",IF(LEFT($I65,1)="N",-'283'!G172,'283'!G172),""),"")</f>
        <v/>
      </c>
      <c r="O65" s="43"/>
      <c r="P65" s="38"/>
      <c r="Q65" s="4">
        <f t="shared" si="16"/>
        <v>45169</v>
      </c>
      <c r="R65" s="24">
        <f t="shared" si="17"/>
        <v>0</v>
      </c>
      <c r="S65" s="25">
        <f t="shared" si="18"/>
        <v>0</v>
      </c>
      <c r="T65" s="24">
        <f t="shared" si="19"/>
        <v>0</v>
      </c>
      <c r="U65" s="25">
        <f t="shared" si="20"/>
        <v>0</v>
      </c>
      <c r="V65" s="24">
        <f t="shared" si="21"/>
        <v>0</v>
      </c>
      <c r="W65" s="25">
        <f t="shared" si="22"/>
        <v>0</v>
      </c>
      <c r="X65" s="24">
        <f t="shared" si="23"/>
        <v>0</v>
      </c>
      <c r="Y65" s="26">
        <f t="shared" si="24"/>
        <v>0</v>
      </c>
      <c r="Z65" s="27">
        <f t="shared" si="25"/>
        <v>0</v>
      </c>
      <c r="AA65" s="28">
        <f t="shared" si="26"/>
        <v>45169</v>
      </c>
      <c r="AB65" s="24">
        <f t="shared" si="27"/>
        <v>0</v>
      </c>
      <c r="AC65" s="25">
        <f t="shared" si="28"/>
        <v>0</v>
      </c>
      <c r="AD65" s="28">
        <f t="shared" si="29"/>
        <v>45169</v>
      </c>
      <c r="AE65" s="24">
        <f t="shared" si="30"/>
        <v>0</v>
      </c>
      <c r="AF65" s="25">
        <f t="shared" si="31"/>
        <v>0</v>
      </c>
      <c r="AG65" s="28">
        <f t="shared" si="32"/>
        <v>45169</v>
      </c>
      <c r="AH65" s="24">
        <f t="shared" si="33"/>
        <v>0</v>
      </c>
      <c r="AI65" s="25">
        <f t="shared" si="34"/>
        <v>0</v>
      </c>
      <c r="AJ65" s="28">
        <f t="shared" si="35"/>
        <v>45169</v>
      </c>
      <c r="AK65" s="24">
        <f t="shared" si="36"/>
        <v>0</v>
      </c>
      <c r="AL65" s="25">
        <f t="shared" si="37"/>
        <v>0</v>
      </c>
      <c r="AM65" s="29">
        <f t="shared" si="38"/>
        <v>0</v>
      </c>
      <c r="AN65" s="28">
        <f t="shared" si="39"/>
        <v>45169</v>
      </c>
      <c r="AO65" s="373">
        <f t="shared" si="0"/>
        <v>0</v>
      </c>
      <c r="AP65" s="374">
        <f t="shared" si="1"/>
        <v>0</v>
      </c>
      <c r="AQ65" s="27">
        <f t="shared" si="2"/>
        <v>0</v>
      </c>
      <c r="AR65" s="25">
        <f t="shared" si="3"/>
        <v>0</v>
      </c>
      <c r="AS65" s="25">
        <f t="shared" si="4"/>
        <v>0</v>
      </c>
      <c r="AT65" s="25">
        <f t="shared" si="5"/>
        <v>0</v>
      </c>
      <c r="AU65" s="29">
        <f t="shared" si="85"/>
        <v>0</v>
      </c>
      <c r="AV65" s="27">
        <f t="shared" si="40"/>
        <v>0</v>
      </c>
      <c r="AW65" s="27">
        <f t="shared" si="41"/>
        <v>0</v>
      </c>
      <c r="AX65" s="27">
        <f t="shared" si="42"/>
        <v>0</v>
      </c>
      <c r="AY65" s="27">
        <f t="shared" si="43"/>
        <v>0</v>
      </c>
      <c r="BH65" s="2">
        <f t="shared" si="51"/>
        <v>0</v>
      </c>
      <c r="BI65" s="298" t="str">
        <f t="shared" si="87"/>
        <v/>
      </c>
      <c r="BJ65" s="298" t="str">
        <f t="shared" si="52"/>
        <v/>
      </c>
      <c r="BQ65" s="4">
        <f t="shared" si="55"/>
        <v>45169</v>
      </c>
      <c r="BR65" s="112">
        <f t="shared" si="56"/>
        <v>0</v>
      </c>
      <c r="BS65" s="112">
        <f t="shared" si="57"/>
        <v>0</v>
      </c>
      <c r="BT65" s="112">
        <f t="shared" si="58"/>
        <v>0</v>
      </c>
      <c r="BU65" s="112">
        <f t="shared" si="59"/>
        <v>0</v>
      </c>
      <c r="BV65" s="112">
        <f t="shared" si="60"/>
        <v>0</v>
      </c>
      <c r="CI65" s="4">
        <f t="shared" si="65"/>
        <v>45169</v>
      </c>
      <c r="CJ65" s="50">
        <f ca="1">IF($BH65=0,IF($CO65="",CJ64+R65,IF('283'!$K$251=1,VLOOKUP($CO65,PerStBal,2)+R65,IF('283'!$K$253=1,(VLOOKUP($CO65,PerPortion,2)*VLOOKUP($CO65,PerStBal,6))+R65,GL!BS65))),0)</f>
        <v>0</v>
      </c>
      <c r="CK65" s="425">
        <f ca="1">IF($BH65=0,IF($CO65="",CK64+T65,IF('283'!$K$251=1,IF(mname2&lt;&gt;"",VLOOKUP($CO65,PerStBal,3)+T65,0),IF('283'!$K$253=1,(VLOOKUP($CO65,PerPortion,3)*VLOOKUP($CO65,PerStBal,6))+T65,GL!BT65))),0)</f>
        <v>0</v>
      </c>
      <c r="CL65" s="425">
        <f ca="1">IF($BH65=0,IF($CO65="",CL64+V65,IF('283'!$K$251=1,IF(mname3&lt;&gt;"",VLOOKUP($CO65,PerStBal,4)+V65,0),IF('283'!$K$253=1,(VLOOKUP($CO65,PerPortion,4)*VLOOKUP($CO65,PerStBal,6))+V65,GL!BU65))),0)</f>
        <v>0</v>
      </c>
      <c r="CM65" s="425">
        <f ca="1">IF($BH65=0,IF($CO65="",CM64+X65,IF('283'!$K$251=1,IF(mname4&lt;&gt;"",VLOOKUP($CO65,PerStBal,5)+X65,0),IF('283'!$K$253=1,(VLOOKUP($CO65,PerPortion,5)*VLOOKUP($CO65,PerStBal,6))+X65,GL!BV65))),0)</f>
        <v>0</v>
      </c>
      <c r="CN65" s="50">
        <f t="shared" ca="1" si="66"/>
        <v>0</v>
      </c>
      <c r="CO65" s="4" t="str">
        <f t="shared" ca="1" si="67"/>
        <v/>
      </c>
      <c r="CP65" s="377">
        <f t="shared" si="7"/>
        <v>0</v>
      </c>
      <c r="DI65" s="4">
        <f t="shared" si="70"/>
        <v>45169</v>
      </c>
      <c r="DJ65" s="112">
        <f t="shared" ca="1" si="71"/>
        <v>0</v>
      </c>
      <c r="DK65" s="112">
        <f t="shared" si="72"/>
        <v>0</v>
      </c>
      <c r="DL65" s="4">
        <f t="shared" si="73"/>
        <v>45169</v>
      </c>
      <c r="DM65" s="112">
        <f t="shared" ca="1" si="74"/>
        <v>0</v>
      </c>
      <c r="DN65" s="112">
        <f t="shared" si="75"/>
        <v>0</v>
      </c>
      <c r="DO65" s="4">
        <f t="shared" si="76"/>
        <v>45169</v>
      </c>
      <c r="DP65" s="112">
        <f t="shared" ca="1" si="77"/>
        <v>0</v>
      </c>
      <c r="DQ65" s="112">
        <f t="shared" si="78"/>
        <v>0</v>
      </c>
      <c r="DR65" s="4">
        <f t="shared" si="79"/>
        <v>45169</v>
      </c>
      <c r="DS65" s="112">
        <f t="shared" ca="1" si="80"/>
        <v>0</v>
      </c>
      <c r="DT65" s="112">
        <f t="shared" si="81"/>
        <v>0</v>
      </c>
      <c r="DU65" s="4">
        <f t="shared" si="82"/>
        <v>45169</v>
      </c>
      <c r="DV65" s="112">
        <f t="shared" si="83"/>
        <v>0</v>
      </c>
      <c r="DW65" s="112">
        <f t="shared" si="84"/>
        <v>0</v>
      </c>
    </row>
    <row r="66" spans="2:127" x14ac:dyDescent="0.25">
      <c r="B66" s="39" t="str">
        <f>IF(LEFT('283'!B173,1)="R","Benefits Paid","")</f>
        <v/>
      </c>
      <c r="C66" s="3" t="str">
        <f>IF(B66&lt;&gt;"",IF('283'!C173&lt;&gt;"",'283'!C173,""),"")</f>
        <v/>
      </c>
      <c r="D66" s="40" t="str">
        <f>IF($B66&lt;&gt;"",IF('283'!D173&lt;&gt;"",'283'!D173,""),"")</f>
        <v/>
      </c>
      <c r="E66" s="40" t="str">
        <f>IF($B66&lt;&gt;"",IF('283'!E173&lt;&gt;"",'283'!E173,""),"")</f>
        <v/>
      </c>
      <c r="F66" s="40" t="str">
        <f>IF($B66&lt;&gt;"",IF('283'!F173&lt;&gt;"",'283'!F173,""),"")</f>
        <v/>
      </c>
      <c r="G66" s="41" t="str">
        <f>IF($B66&lt;&gt;"",IF('283'!G173&lt;&gt;"",'283'!G173,""),"")</f>
        <v/>
      </c>
      <c r="H66" s="23">
        <v>62</v>
      </c>
      <c r="I66" s="42" t="str">
        <f>IF(AND(LEFT('283'!B173,1)&lt;&gt;"R",LEFT('283'!B173,1)&lt;&gt;""),'283'!B173,"")</f>
        <v/>
      </c>
      <c r="J66" s="3" t="str">
        <f>IF(I66&lt;&gt;"",IF('283'!C173&lt;&gt;"",'283'!C173,""),"")</f>
        <v/>
      </c>
      <c r="K66" s="40" t="str">
        <f>IF($I66&lt;&gt;"",IF('283'!D173&lt;&gt;"",IF(LEFT($I66,1)="N",-'283'!D173,'283'!D173),""),"")</f>
        <v/>
      </c>
      <c r="L66" s="40" t="str">
        <f>IF($I66&lt;&gt;"",IF('283'!E173&lt;&gt;"",IF(LEFT($I66,1)="N",-'283'!E173,'283'!E173),""),"")</f>
        <v/>
      </c>
      <c r="M66" s="40" t="str">
        <f>IF($I66&lt;&gt;"",IF('283'!F173&lt;&gt;"",IF(LEFT($I66,1)="N",-'283'!F173,'283'!F173),""),"")</f>
        <v/>
      </c>
      <c r="N66" s="40" t="str">
        <f>IF($I66&lt;&gt;"",IF('283'!G173&lt;&gt;"",IF(LEFT($I66,1)="N",-'283'!G173,'283'!G173),""),"")</f>
        <v/>
      </c>
      <c r="O66" s="43"/>
      <c r="P66" s="38"/>
      <c r="Q66" s="4">
        <f t="shared" si="16"/>
        <v>45170</v>
      </c>
      <c r="R66" s="24">
        <f t="shared" si="17"/>
        <v>0</v>
      </c>
      <c r="S66" s="25">
        <f t="shared" si="18"/>
        <v>0</v>
      </c>
      <c r="T66" s="24">
        <f t="shared" si="19"/>
        <v>0</v>
      </c>
      <c r="U66" s="25">
        <f t="shared" si="20"/>
        <v>0</v>
      </c>
      <c r="V66" s="24">
        <f t="shared" si="21"/>
        <v>0</v>
      </c>
      <c r="W66" s="25">
        <f t="shared" si="22"/>
        <v>0</v>
      </c>
      <c r="X66" s="24">
        <f t="shared" si="23"/>
        <v>0</v>
      </c>
      <c r="Y66" s="26">
        <f t="shared" si="24"/>
        <v>0</v>
      </c>
      <c r="Z66" s="27">
        <f t="shared" si="25"/>
        <v>0</v>
      </c>
      <c r="AA66" s="28">
        <f t="shared" si="26"/>
        <v>45170</v>
      </c>
      <c r="AB66" s="24">
        <f t="shared" si="27"/>
        <v>0</v>
      </c>
      <c r="AC66" s="25">
        <f t="shared" si="28"/>
        <v>0</v>
      </c>
      <c r="AD66" s="28">
        <f t="shared" si="29"/>
        <v>45170</v>
      </c>
      <c r="AE66" s="24">
        <f t="shared" si="30"/>
        <v>0</v>
      </c>
      <c r="AF66" s="25">
        <f t="shared" si="31"/>
        <v>0</v>
      </c>
      <c r="AG66" s="28">
        <f t="shared" si="32"/>
        <v>45170</v>
      </c>
      <c r="AH66" s="24">
        <f t="shared" si="33"/>
        <v>0</v>
      </c>
      <c r="AI66" s="25">
        <f t="shared" si="34"/>
        <v>0</v>
      </c>
      <c r="AJ66" s="28">
        <f t="shared" si="35"/>
        <v>45170</v>
      </c>
      <c r="AK66" s="24">
        <f t="shared" si="36"/>
        <v>0</v>
      </c>
      <c r="AL66" s="25">
        <f t="shared" si="37"/>
        <v>0</v>
      </c>
      <c r="AM66" s="29">
        <f t="shared" si="38"/>
        <v>0</v>
      </c>
      <c r="AN66" s="28">
        <f t="shared" si="39"/>
        <v>45170</v>
      </c>
      <c r="AO66" s="373">
        <f t="shared" si="0"/>
        <v>0</v>
      </c>
      <c r="AP66" s="374">
        <f t="shared" si="1"/>
        <v>0</v>
      </c>
      <c r="AQ66" s="27">
        <f t="shared" si="2"/>
        <v>0</v>
      </c>
      <c r="AR66" s="25">
        <f t="shared" si="3"/>
        <v>0</v>
      </c>
      <c r="AS66" s="25">
        <f t="shared" si="4"/>
        <v>0</v>
      </c>
      <c r="AT66" s="25">
        <f t="shared" si="5"/>
        <v>0</v>
      </c>
      <c r="AU66" s="29">
        <f t="shared" si="85"/>
        <v>0</v>
      </c>
      <c r="AV66" s="27">
        <f t="shared" si="40"/>
        <v>0</v>
      </c>
      <c r="AW66" s="27">
        <f t="shared" si="41"/>
        <v>0</v>
      </c>
      <c r="AX66" s="27">
        <f t="shared" si="42"/>
        <v>0</v>
      </c>
      <c r="AY66" s="27">
        <f t="shared" si="43"/>
        <v>0</v>
      </c>
      <c r="BH66" s="2">
        <f t="shared" si="51"/>
        <v>0</v>
      </c>
      <c r="BI66" s="298" t="str">
        <f t="shared" si="87"/>
        <v/>
      </c>
      <c r="BJ66" s="298" t="str">
        <f t="shared" si="52"/>
        <v/>
      </c>
      <c r="BQ66" s="4">
        <f t="shared" si="55"/>
        <v>45170</v>
      </c>
      <c r="BR66" s="112">
        <f t="shared" si="56"/>
        <v>0</v>
      </c>
      <c r="BS66" s="112">
        <f t="shared" si="57"/>
        <v>0</v>
      </c>
      <c r="BT66" s="112">
        <f t="shared" si="58"/>
        <v>0</v>
      </c>
      <c r="BU66" s="112">
        <f t="shared" si="59"/>
        <v>0</v>
      </c>
      <c r="BV66" s="112">
        <f t="shared" si="60"/>
        <v>0</v>
      </c>
      <c r="CI66" s="4">
        <f t="shared" si="65"/>
        <v>45170</v>
      </c>
      <c r="CJ66" s="50">
        <f ca="1">IF($BH66=0,IF($CO66="",CJ65+R66,IF('283'!$K$251=1,VLOOKUP($CO66,PerStBal,2)+R66,IF('283'!$K$253=1,(VLOOKUP($CO66,PerPortion,2)*VLOOKUP($CO66,PerStBal,6))+R66,GL!BS66))),0)</f>
        <v>0</v>
      </c>
      <c r="CK66" s="425">
        <f ca="1">IF($BH66=0,IF($CO66="",CK65+T66,IF('283'!$K$251=1,IF(mname2&lt;&gt;"",VLOOKUP($CO66,PerStBal,3)+T66,0),IF('283'!$K$253=1,(VLOOKUP($CO66,PerPortion,3)*VLOOKUP($CO66,PerStBal,6))+T66,GL!BT66))),0)</f>
        <v>0</v>
      </c>
      <c r="CL66" s="425">
        <f ca="1">IF($BH66=0,IF($CO66="",CL65+V66,IF('283'!$K$251=1,IF(mname3&lt;&gt;"",VLOOKUP($CO66,PerStBal,4)+V66,0),IF('283'!$K$253=1,(VLOOKUP($CO66,PerPortion,4)*VLOOKUP($CO66,PerStBal,6))+V66,GL!BU66))),0)</f>
        <v>0</v>
      </c>
      <c r="CM66" s="425">
        <f ca="1">IF($BH66=0,IF($CO66="",CM65+X66,IF('283'!$K$251=1,IF(mname4&lt;&gt;"",VLOOKUP($CO66,PerStBal,5)+X66,0),IF('283'!$K$253=1,(VLOOKUP($CO66,PerPortion,5)*VLOOKUP($CO66,PerStBal,6))+X66,GL!BV66))),0)</f>
        <v>0</v>
      </c>
      <c r="CN66" s="50">
        <f t="shared" ca="1" si="66"/>
        <v>0</v>
      </c>
      <c r="CO66" s="4" t="str">
        <f t="shared" ca="1" si="67"/>
        <v/>
      </c>
      <c r="CP66" s="377">
        <f t="shared" si="7"/>
        <v>0</v>
      </c>
      <c r="DI66" s="4">
        <f t="shared" si="70"/>
        <v>45170</v>
      </c>
      <c r="DJ66" s="112">
        <f t="shared" ca="1" si="71"/>
        <v>0</v>
      </c>
      <c r="DK66" s="112">
        <f t="shared" si="72"/>
        <v>0</v>
      </c>
      <c r="DL66" s="4">
        <f t="shared" si="73"/>
        <v>45170</v>
      </c>
      <c r="DM66" s="112">
        <f t="shared" ca="1" si="74"/>
        <v>0</v>
      </c>
      <c r="DN66" s="112">
        <f t="shared" si="75"/>
        <v>0</v>
      </c>
      <c r="DO66" s="4">
        <f t="shared" si="76"/>
        <v>45170</v>
      </c>
      <c r="DP66" s="112">
        <f t="shared" ca="1" si="77"/>
        <v>0</v>
      </c>
      <c r="DQ66" s="112">
        <f t="shared" si="78"/>
        <v>0</v>
      </c>
      <c r="DR66" s="4">
        <f t="shared" si="79"/>
        <v>45170</v>
      </c>
      <c r="DS66" s="112">
        <f t="shared" ca="1" si="80"/>
        <v>0</v>
      </c>
      <c r="DT66" s="112">
        <f t="shared" si="81"/>
        <v>0</v>
      </c>
      <c r="DU66" s="4">
        <f t="shared" si="82"/>
        <v>45170</v>
      </c>
      <c r="DV66" s="112">
        <f t="shared" si="83"/>
        <v>0</v>
      </c>
      <c r="DW66" s="112">
        <f t="shared" si="84"/>
        <v>0</v>
      </c>
    </row>
    <row r="67" spans="2:127" x14ac:dyDescent="0.25">
      <c r="B67" s="39" t="str">
        <f>IF(LEFT('283'!B174,1)="R","Benefits Paid","")</f>
        <v/>
      </c>
      <c r="C67" s="3" t="str">
        <f>IF(B67&lt;&gt;"",IF('283'!C174&lt;&gt;"",'283'!C174,""),"")</f>
        <v/>
      </c>
      <c r="D67" s="40" t="str">
        <f>IF($B67&lt;&gt;"",IF('283'!D174&lt;&gt;"",'283'!D174,""),"")</f>
        <v/>
      </c>
      <c r="E67" s="40" t="str">
        <f>IF($B67&lt;&gt;"",IF('283'!E174&lt;&gt;"",'283'!E174,""),"")</f>
        <v/>
      </c>
      <c r="F67" s="40" t="str">
        <f>IF($B67&lt;&gt;"",IF('283'!F174&lt;&gt;"",'283'!F174,""),"")</f>
        <v/>
      </c>
      <c r="G67" s="41" t="str">
        <f>IF($B67&lt;&gt;"",IF('283'!G174&lt;&gt;"",'283'!G174,""),"")</f>
        <v/>
      </c>
      <c r="H67" s="23">
        <v>63</v>
      </c>
      <c r="I67" s="42" t="str">
        <f>IF(AND(LEFT('283'!B174,1)&lt;&gt;"R",LEFT('283'!B174,1)&lt;&gt;""),'283'!B174,"")</f>
        <v/>
      </c>
      <c r="J67" s="3" t="str">
        <f>IF(I67&lt;&gt;"",IF('283'!C174&lt;&gt;"",'283'!C174,""),"")</f>
        <v/>
      </c>
      <c r="K67" s="40" t="str">
        <f>IF($I67&lt;&gt;"",IF('283'!D174&lt;&gt;"",IF(LEFT($I67,1)="N",-'283'!D174,'283'!D174),""),"")</f>
        <v/>
      </c>
      <c r="L67" s="40" t="str">
        <f>IF($I67&lt;&gt;"",IF('283'!E174&lt;&gt;"",IF(LEFT($I67,1)="N",-'283'!E174,'283'!E174),""),"")</f>
        <v/>
      </c>
      <c r="M67" s="40" t="str">
        <f>IF($I67&lt;&gt;"",IF('283'!F174&lt;&gt;"",IF(LEFT($I67,1)="N",-'283'!F174,'283'!F174),""),"")</f>
        <v/>
      </c>
      <c r="N67" s="40" t="str">
        <f>IF($I67&lt;&gt;"",IF('283'!G174&lt;&gt;"",IF(LEFT($I67,1)="N",-'283'!G174,'283'!G174),""),"")</f>
        <v/>
      </c>
      <c r="O67" s="43"/>
      <c r="P67" s="38"/>
      <c r="Q67" s="4">
        <f t="shared" si="16"/>
        <v>45171</v>
      </c>
      <c r="R67" s="24">
        <f t="shared" si="17"/>
        <v>0</v>
      </c>
      <c r="S67" s="25">
        <f t="shared" si="18"/>
        <v>0</v>
      </c>
      <c r="T67" s="24">
        <f t="shared" si="19"/>
        <v>0</v>
      </c>
      <c r="U67" s="25">
        <f t="shared" si="20"/>
        <v>0</v>
      </c>
      <c r="V67" s="24">
        <f t="shared" si="21"/>
        <v>0</v>
      </c>
      <c r="W67" s="25">
        <f t="shared" si="22"/>
        <v>0</v>
      </c>
      <c r="X67" s="24">
        <f t="shared" si="23"/>
        <v>0</v>
      </c>
      <c r="Y67" s="26">
        <f t="shared" si="24"/>
        <v>0</v>
      </c>
      <c r="Z67" s="27">
        <f t="shared" si="25"/>
        <v>0</v>
      </c>
      <c r="AA67" s="28">
        <f t="shared" si="26"/>
        <v>45171</v>
      </c>
      <c r="AB67" s="24">
        <f t="shared" si="27"/>
        <v>0</v>
      </c>
      <c r="AC67" s="25">
        <f t="shared" si="28"/>
        <v>0</v>
      </c>
      <c r="AD67" s="28">
        <f t="shared" si="29"/>
        <v>45171</v>
      </c>
      <c r="AE67" s="24">
        <f t="shared" si="30"/>
        <v>0</v>
      </c>
      <c r="AF67" s="25">
        <f t="shared" si="31"/>
        <v>0</v>
      </c>
      <c r="AG67" s="28">
        <f t="shared" si="32"/>
        <v>45171</v>
      </c>
      <c r="AH67" s="24">
        <f t="shared" si="33"/>
        <v>0</v>
      </c>
      <c r="AI67" s="25">
        <f t="shared" si="34"/>
        <v>0</v>
      </c>
      <c r="AJ67" s="28">
        <f t="shared" si="35"/>
        <v>45171</v>
      </c>
      <c r="AK67" s="24">
        <f t="shared" si="36"/>
        <v>0</v>
      </c>
      <c r="AL67" s="25">
        <f t="shared" si="37"/>
        <v>0</v>
      </c>
      <c r="AM67" s="29">
        <f t="shared" si="38"/>
        <v>0</v>
      </c>
      <c r="AN67" s="28">
        <f t="shared" si="39"/>
        <v>45171</v>
      </c>
      <c r="AO67" s="373">
        <f t="shared" si="0"/>
        <v>0</v>
      </c>
      <c r="AP67" s="374">
        <f t="shared" si="1"/>
        <v>0</v>
      </c>
      <c r="AQ67" s="27">
        <f t="shared" si="2"/>
        <v>0</v>
      </c>
      <c r="AR67" s="25">
        <f t="shared" si="3"/>
        <v>0</v>
      </c>
      <c r="AS67" s="25">
        <f t="shared" si="4"/>
        <v>0</v>
      </c>
      <c r="AT67" s="25">
        <f t="shared" si="5"/>
        <v>0</v>
      </c>
      <c r="AU67" s="29">
        <f t="shared" si="85"/>
        <v>0</v>
      </c>
      <c r="AV67" s="27">
        <f t="shared" si="40"/>
        <v>0</v>
      </c>
      <c r="AW67" s="27">
        <f t="shared" si="41"/>
        <v>0</v>
      </c>
      <c r="AX67" s="27">
        <f t="shared" si="42"/>
        <v>0</v>
      </c>
      <c r="AY67" s="27">
        <f t="shared" si="43"/>
        <v>0</v>
      </c>
      <c r="BH67" s="2">
        <f t="shared" si="51"/>
        <v>0</v>
      </c>
      <c r="BI67" s="298" t="str">
        <f t="shared" si="87"/>
        <v/>
      </c>
      <c r="BJ67" s="298" t="str">
        <f t="shared" si="52"/>
        <v/>
      </c>
      <c r="BQ67" s="4">
        <f t="shared" si="55"/>
        <v>45171</v>
      </c>
      <c r="BR67" s="112">
        <f t="shared" si="56"/>
        <v>0</v>
      </c>
      <c r="BS67" s="112">
        <f t="shared" si="57"/>
        <v>0</v>
      </c>
      <c r="BT67" s="112">
        <f t="shared" si="58"/>
        <v>0</v>
      </c>
      <c r="BU67" s="112">
        <f t="shared" si="59"/>
        <v>0</v>
      </c>
      <c r="BV67" s="112">
        <f t="shared" si="60"/>
        <v>0</v>
      </c>
      <c r="CI67" s="4">
        <f t="shared" si="65"/>
        <v>45171</v>
      </c>
      <c r="CJ67" s="50">
        <f ca="1">IF($BH67=0,IF($CO67="",CJ66+R67,IF('283'!$K$251=1,VLOOKUP($CO67,PerStBal,2)+R67,IF('283'!$K$253=1,(VLOOKUP($CO67,PerPortion,2)*VLOOKUP($CO67,PerStBal,6))+R67,GL!BS67))),0)</f>
        <v>0</v>
      </c>
      <c r="CK67" s="425">
        <f ca="1">IF($BH67=0,IF($CO67="",CK66+T67,IF('283'!$K$251=1,IF(mname2&lt;&gt;"",VLOOKUP($CO67,PerStBal,3)+T67,0),IF('283'!$K$253=1,(VLOOKUP($CO67,PerPortion,3)*VLOOKUP($CO67,PerStBal,6))+T67,GL!BT67))),0)</f>
        <v>0</v>
      </c>
      <c r="CL67" s="425">
        <f ca="1">IF($BH67=0,IF($CO67="",CL66+V67,IF('283'!$K$251=1,IF(mname3&lt;&gt;"",VLOOKUP($CO67,PerStBal,4)+V67,0),IF('283'!$K$253=1,(VLOOKUP($CO67,PerPortion,4)*VLOOKUP($CO67,PerStBal,6))+V67,GL!BU67))),0)</f>
        <v>0</v>
      </c>
      <c r="CM67" s="425">
        <f ca="1">IF($BH67=0,IF($CO67="",CM66+X67,IF('283'!$K$251=1,IF(mname4&lt;&gt;"",VLOOKUP($CO67,PerStBal,5)+X67,0),IF('283'!$K$253=1,(VLOOKUP($CO67,PerPortion,5)*VLOOKUP($CO67,PerStBal,6))+X67,GL!BV67))),0)</f>
        <v>0</v>
      </c>
      <c r="CN67" s="50">
        <f t="shared" ca="1" si="66"/>
        <v>0</v>
      </c>
      <c r="CO67" s="4" t="str">
        <f t="shared" ca="1" si="67"/>
        <v/>
      </c>
      <c r="CP67" s="377">
        <f t="shared" si="7"/>
        <v>0</v>
      </c>
      <c r="DI67" s="4">
        <f t="shared" si="70"/>
        <v>45171</v>
      </c>
      <c r="DJ67" s="112">
        <f t="shared" ca="1" si="71"/>
        <v>0</v>
      </c>
      <c r="DK67" s="112">
        <f t="shared" si="72"/>
        <v>0</v>
      </c>
      <c r="DL67" s="4">
        <f t="shared" si="73"/>
        <v>45171</v>
      </c>
      <c r="DM67" s="112">
        <f t="shared" ca="1" si="74"/>
        <v>0</v>
      </c>
      <c r="DN67" s="112">
        <f t="shared" si="75"/>
        <v>0</v>
      </c>
      <c r="DO67" s="4">
        <f t="shared" si="76"/>
        <v>45171</v>
      </c>
      <c r="DP67" s="112">
        <f t="shared" ca="1" si="77"/>
        <v>0</v>
      </c>
      <c r="DQ67" s="112">
        <f t="shared" si="78"/>
        <v>0</v>
      </c>
      <c r="DR67" s="4">
        <f t="shared" si="79"/>
        <v>45171</v>
      </c>
      <c r="DS67" s="112">
        <f t="shared" ca="1" si="80"/>
        <v>0</v>
      </c>
      <c r="DT67" s="112">
        <f t="shared" si="81"/>
        <v>0</v>
      </c>
      <c r="DU67" s="4">
        <f t="shared" si="82"/>
        <v>45171</v>
      </c>
      <c r="DV67" s="112">
        <f t="shared" si="83"/>
        <v>0</v>
      </c>
      <c r="DW67" s="112">
        <f t="shared" si="84"/>
        <v>0</v>
      </c>
    </row>
    <row r="68" spans="2:127" x14ac:dyDescent="0.25">
      <c r="B68" s="39" t="str">
        <f>IF(LEFT('283'!B175,1)="R","Benefits Paid","")</f>
        <v/>
      </c>
      <c r="C68" s="3" t="str">
        <f>IF(B68&lt;&gt;"",IF('283'!C175&lt;&gt;"",'283'!C175,""),"")</f>
        <v/>
      </c>
      <c r="D68" s="40" t="str">
        <f>IF($B68&lt;&gt;"",IF('283'!D175&lt;&gt;"",'283'!D175,""),"")</f>
        <v/>
      </c>
      <c r="E68" s="40" t="str">
        <f>IF($B68&lt;&gt;"",IF('283'!E175&lt;&gt;"",'283'!E175,""),"")</f>
        <v/>
      </c>
      <c r="F68" s="40" t="str">
        <f>IF($B68&lt;&gt;"",IF('283'!F175&lt;&gt;"",'283'!F175,""),"")</f>
        <v/>
      </c>
      <c r="G68" s="41" t="str">
        <f>IF($B68&lt;&gt;"",IF('283'!G175&lt;&gt;"",'283'!G175,""),"")</f>
        <v/>
      </c>
      <c r="H68" s="23">
        <v>64</v>
      </c>
      <c r="I68" s="42" t="str">
        <f>IF(AND(LEFT('283'!B175,1)&lt;&gt;"R",LEFT('283'!B175,1)&lt;&gt;""),'283'!B175,"")</f>
        <v/>
      </c>
      <c r="J68" s="3" t="str">
        <f>IF(I68&lt;&gt;"",IF('283'!C175&lt;&gt;"",'283'!C175,""),"")</f>
        <v/>
      </c>
      <c r="K68" s="40" t="str">
        <f>IF($I68&lt;&gt;"",IF('283'!D175&lt;&gt;"",IF(LEFT($I68,1)="N",-'283'!D175,'283'!D175),""),"")</f>
        <v/>
      </c>
      <c r="L68" s="40" t="str">
        <f>IF($I68&lt;&gt;"",IF('283'!E175&lt;&gt;"",IF(LEFT($I68,1)="N",-'283'!E175,'283'!E175),""),"")</f>
        <v/>
      </c>
      <c r="M68" s="40" t="str">
        <f>IF($I68&lt;&gt;"",IF('283'!F175&lt;&gt;"",IF(LEFT($I68,1)="N",-'283'!F175,'283'!F175),""),"")</f>
        <v/>
      </c>
      <c r="N68" s="40" t="str">
        <f>IF($I68&lt;&gt;"",IF('283'!G175&lt;&gt;"",IF(LEFT($I68,1)="N",-'283'!G175,'283'!G175),""),"")</f>
        <v/>
      </c>
      <c r="O68" s="43"/>
      <c r="P68" s="38"/>
      <c r="Q68" s="4">
        <f t="shared" si="16"/>
        <v>45172</v>
      </c>
      <c r="R68" s="24">
        <f t="shared" si="17"/>
        <v>0</v>
      </c>
      <c r="S68" s="25">
        <f t="shared" si="18"/>
        <v>0</v>
      </c>
      <c r="T68" s="24">
        <f t="shared" si="19"/>
        <v>0</v>
      </c>
      <c r="U68" s="25">
        <f t="shared" si="20"/>
        <v>0</v>
      </c>
      <c r="V68" s="24">
        <f t="shared" si="21"/>
        <v>0</v>
      </c>
      <c r="W68" s="25">
        <f t="shared" si="22"/>
        <v>0</v>
      </c>
      <c r="X68" s="24">
        <f t="shared" si="23"/>
        <v>0</v>
      </c>
      <c r="Y68" s="26">
        <f t="shared" si="24"/>
        <v>0</v>
      </c>
      <c r="Z68" s="27">
        <f t="shared" si="25"/>
        <v>0</v>
      </c>
      <c r="AA68" s="28">
        <f t="shared" si="26"/>
        <v>45172</v>
      </c>
      <c r="AB68" s="24">
        <f t="shared" si="27"/>
        <v>0</v>
      </c>
      <c r="AC68" s="25">
        <f t="shared" si="28"/>
        <v>0</v>
      </c>
      <c r="AD68" s="28">
        <f t="shared" si="29"/>
        <v>45172</v>
      </c>
      <c r="AE68" s="24">
        <f t="shared" si="30"/>
        <v>0</v>
      </c>
      <c r="AF68" s="25">
        <f t="shared" si="31"/>
        <v>0</v>
      </c>
      <c r="AG68" s="28">
        <f t="shared" si="32"/>
        <v>45172</v>
      </c>
      <c r="AH68" s="24">
        <f t="shared" si="33"/>
        <v>0</v>
      </c>
      <c r="AI68" s="25">
        <f t="shared" si="34"/>
        <v>0</v>
      </c>
      <c r="AJ68" s="28">
        <f t="shared" si="35"/>
        <v>45172</v>
      </c>
      <c r="AK68" s="24">
        <f t="shared" si="36"/>
        <v>0</v>
      </c>
      <c r="AL68" s="25">
        <f t="shared" si="37"/>
        <v>0</v>
      </c>
      <c r="AM68" s="29">
        <f t="shared" si="38"/>
        <v>0</v>
      </c>
      <c r="AN68" s="28">
        <f t="shared" si="39"/>
        <v>45172</v>
      </c>
      <c r="AO68" s="373">
        <f t="shared" ref="AO68:AO131" si="101">IF(AND(UseSeg="Yes",AP68=0),0,SUM(AB68,AE68,AH68,AK68))</f>
        <v>0</v>
      </c>
      <c r="AP68" s="374">
        <f t="shared" ref="AP68:AP131" si="102">SUM(AC68,AF68,AI68,AL68:AM68)</f>
        <v>0</v>
      </c>
      <c r="AQ68" s="27">
        <f t="shared" ref="AQ68:AQ131" si="103">AB68+AC68</f>
        <v>0</v>
      </c>
      <c r="AR68" s="25">
        <f t="shared" ref="AR68:AR131" si="104">AE68+AF68</f>
        <v>0</v>
      </c>
      <c r="AS68" s="25">
        <f t="shared" ref="AS68:AS131" si="105">AH68+AI68</f>
        <v>0</v>
      </c>
      <c r="AT68" s="25">
        <f t="shared" ref="AT68:AT131" si="106">AK68+AL68</f>
        <v>0</v>
      </c>
      <c r="AU68" s="29">
        <f t="shared" si="85"/>
        <v>0</v>
      </c>
      <c r="AV68" s="27">
        <f t="shared" si="40"/>
        <v>0</v>
      </c>
      <c r="AW68" s="27">
        <f t="shared" si="41"/>
        <v>0</v>
      </c>
      <c r="AX68" s="27">
        <f t="shared" si="42"/>
        <v>0</v>
      </c>
      <c r="AY68" s="27">
        <f t="shared" si="43"/>
        <v>0</v>
      </c>
      <c r="BH68" s="2">
        <f t="shared" si="51"/>
        <v>0</v>
      </c>
      <c r="BI68" s="298" t="str">
        <f t="shared" si="87"/>
        <v/>
      </c>
      <c r="BJ68" s="298" t="str">
        <f t="shared" ref="BJ68:BJ131" si="107">IF(UseSeg="Yes",IF(AND(BH68=1,ROUND(AP69,1)&gt;0),AN68,""),"")</f>
        <v/>
      </c>
      <c r="BQ68" s="4">
        <f t="shared" si="55"/>
        <v>45172</v>
      </c>
      <c r="BR68" s="112">
        <f t="shared" si="56"/>
        <v>0</v>
      </c>
      <c r="BS68" s="112">
        <f t="shared" si="57"/>
        <v>0</v>
      </c>
      <c r="BT68" s="112">
        <f t="shared" si="58"/>
        <v>0</v>
      </c>
      <c r="BU68" s="112">
        <f t="shared" si="59"/>
        <v>0</v>
      </c>
      <c r="BV68" s="112">
        <f t="shared" si="60"/>
        <v>0</v>
      </c>
      <c r="CI68" s="4">
        <f t="shared" si="65"/>
        <v>45172</v>
      </c>
      <c r="CJ68" s="50">
        <f ca="1">IF($BH68=0,IF($CO68="",CJ67+R68,IF('283'!$K$251=1,VLOOKUP($CO68,PerStBal,2)+R68,IF('283'!$K$253=1,(VLOOKUP($CO68,PerPortion,2)*VLOOKUP($CO68,PerStBal,6))+R68,GL!BS68))),0)</f>
        <v>0</v>
      </c>
      <c r="CK68" s="425">
        <f ca="1">IF($BH68=0,IF($CO68="",CK67+T68,IF('283'!$K$251=1,IF(mname2&lt;&gt;"",VLOOKUP($CO68,PerStBal,3)+T68,0),IF('283'!$K$253=1,(VLOOKUP($CO68,PerPortion,3)*VLOOKUP($CO68,PerStBal,6))+T68,GL!BT68))),0)</f>
        <v>0</v>
      </c>
      <c r="CL68" s="425">
        <f ca="1">IF($BH68=0,IF($CO68="",CL67+V68,IF('283'!$K$251=1,IF(mname3&lt;&gt;"",VLOOKUP($CO68,PerStBal,4)+V68,0),IF('283'!$K$253=1,(VLOOKUP($CO68,PerPortion,4)*VLOOKUP($CO68,PerStBal,6))+V68,GL!BU68))),0)</f>
        <v>0</v>
      </c>
      <c r="CM68" s="425">
        <f ca="1">IF($BH68=0,IF($CO68="",CM67+X68,IF('283'!$K$251=1,IF(mname4&lt;&gt;"",VLOOKUP($CO68,PerStBal,5)+X68,0),IF('283'!$K$253=1,(VLOOKUP($CO68,PerPortion,5)*VLOOKUP($CO68,PerStBal,6))+X68,GL!BV68))),0)</f>
        <v>0</v>
      </c>
      <c r="CN68" s="50">
        <f t="shared" ca="1" si="66"/>
        <v>0</v>
      </c>
      <c r="CO68" s="4" t="str">
        <f t="shared" ca="1" si="67"/>
        <v/>
      </c>
      <c r="CP68" s="377">
        <f t="shared" ref="CP68:CP131" si="108">IF(AND(UseSeg="Yes",AP68=0),0,SUM(CJ68:CM68))</f>
        <v>0</v>
      </c>
      <c r="DI68" s="4">
        <f t="shared" si="70"/>
        <v>45172</v>
      </c>
      <c r="DJ68" s="112">
        <f t="shared" ca="1" si="71"/>
        <v>0</v>
      </c>
      <c r="DK68" s="112">
        <f t="shared" si="72"/>
        <v>0</v>
      </c>
      <c r="DL68" s="4">
        <f t="shared" si="73"/>
        <v>45172</v>
      </c>
      <c r="DM68" s="112">
        <f t="shared" ca="1" si="74"/>
        <v>0</v>
      </c>
      <c r="DN68" s="112">
        <f t="shared" si="75"/>
        <v>0</v>
      </c>
      <c r="DO68" s="4">
        <f t="shared" si="76"/>
        <v>45172</v>
      </c>
      <c r="DP68" s="112">
        <f t="shared" ca="1" si="77"/>
        <v>0</v>
      </c>
      <c r="DQ68" s="112">
        <f t="shared" si="78"/>
        <v>0</v>
      </c>
      <c r="DR68" s="4">
        <f t="shared" si="79"/>
        <v>45172</v>
      </c>
      <c r="DS68" s="112">
        <f t="shared" ca="1" si="80"/>
        <v>0</v>
      </c>
      <c r="DT68" s="112">
        <f t="shared" si="81"/>
        <v>0</v>
      </c>
      <c r="DU68" s="4">
        <f t="shared" si="82"/>
        <v>45172</v>
      </c>
      <c r="DV68" s="112">
        <f t="shared" si="83"/>
        <v>0</v>
      </c>
      <c r="DW68" s="112">
        <f t="shared" si="84"/>
        <v>0</v>
      </c>
    </row>
    <row r="69" spans="2:127" x14ac:dyDescent="0.25">
      <c r="B69" s="39" t="str">
        <f>IF(LEFT('283'!B176,1)="R","Benefits Paid","")</f>
        <v/>
      </c>
      <c r="C69" s="3" t="str">
        <f>IF(B69&lt;&gt;"",IF('283'!C176&lt;&gt;"",'283'!C176,""),"")</f>
        <v/>
      </c>
      <c r="D69" s="40" t="str">
        <f>IF($B69&lt;&gt;"",IF('283'!D176&lt;&gt;"",'283'!D176,""),"")</f>
        <v/>
      </c>
      <c r="E69" s="40" t="str">
        <f>IF($B69&lt;&gt;"",IF('283'!E176&lt;&gt;"",'283'!E176,""),"")</f>
        <v/>
      </c>
      <c r="F69" s="40" t="str">
        <f>IF($B69&lt;&gt;"",IF('283'!F176&lt;&gt;"",'283'!F176,""),"")</f>
        <v/>
      </c>
      <c r="G69" s="41" t="str">
        <f>IF($B69&lt;&gt;"",IF('283'!G176&lt;&gt;"",'283'!G176,""),"")</f>
        <v/>
      </c>
      <c r="H69" s="23">
        <v>65</v>
      </c>
      <c r="I69" s="42" t="str">
        <f>IF(AND(LEFT('283'!B176,1)&lt;&gt;"R",LEFT('283'!B176,1)&lt;&gt;""),'283'!B176,"")</f>
        <v/>
      </c>
      <c r="J69" s="3" t="str">
        <f>IF(I69&lt;&gt;"",IF('283'!C176&lt;&gt;"",'283'!C176,""),"")</f>
        <v/>
      </c>
      <c r="K69" s="40" t="str">
        <f>IF($I69&lt;&gt;"",IF('283'!D176&lt;&gt;"",IF(LEFT($I69,1)="N",-'283'!D176,'283'!D176),""),"")</f>
        <v/>
      </c>
      <c r="L69" s="40" t="str">
        <f>IF($I69&lt;&gt;"",IF('283'!E176&lt;&gt;"",IF(LEFT($I69,1)="N",-'283'!E176,'283'!E176),""),"")</f>
        <v/>
      </c>
      <c r="M69" s="40" t="str">
        <f>IF($I69&lt;&gt;"",IF('283'!F176&lt;&gt;"",IF(LEFT($I69,1)="N",-'283'!F176,'283'!F176),""),"")</f>
        <v/>
      </c>
      <c r="N69" s="40" t="str">
        <f>IF($I69&lt;&gt;"",IF('283'!G176&lt;&gt;"",IF(LEFT($I69,1)="N",-'283'!G176,'283'!G176),""),"")</f>
        <v/>
      </c>
      <c r="O69" s="43"/>
      <c r="P69" s="38"/>
      <c r="Q69" s="4">
        <f t="shared" ref="Q69:Q132" si="109">Q68+1</f>
        <v>45173</v>
      </c>
      <c r="R69" s="24">
        <f t="shared" ref="R69:R132" si="110">SUMIF($C$85:$C$98,Q69,$D$85:$D$98)-SUMIF($C$5:$C$84,Q69,$D$5:$D$84)-IF(AND($Q69&gt;=$D$101,$Q69&lt;$D$104,$D$100&lt;&gt;0),$D$100/($D$104-$D$101),0)</f>
        <v>0</v>
      </c>
      <c r="S69" s="25">
        <f t="shared" ref="S69:S132" si="111">SUMIF($J$5:$J$99,Q69,$K$5:$K$99)+IF(AND($Q69&gt;=$K$105,$Q69&lt;$K$102,$K$100&lt;&gt;0),$K$100/($K$102-$K$105),0)</f>
        <v>0</v>
      </c>
      <c r="T69" s="24">
        <f t="shared" ref="T69:T132" si="112">SUMIF($C$85:$C$98,Q69,$E$85:$E$98)-SUMIF($C$5:$C$84,Q69,$E$5:$E$84)-IF(AND($Q69&gt;=$E$101,$Q69&lt;$E$104,$E$100&lt;&gt;0),$E$100/($E$104-$E$101),0)</f>
        <v>0</v>
      </c>
      <c r="U69" s="25">
        <f t="shared" ref="U69:U132" si="113">SUMIF($J$5:$J$99,Q69,$L$5:$L$99)+IF(AND($Q69&gt;=$L$105,$Q69&lt;$L$102,$L$100&lt;&gt;0),$L$100/($L$102-$L$105),0)</f>
        <v>0</v>
      </c>
      <c r="V69" s="24">
        <f t="shared" ref="V69:V132" si="114">SUMIF($C$85:$C$98,$Q69,$F$85:$F$98)-SUMIF($C$5:$C$84,$Q69,$F$5:$F$84)-IF(AND($Q69&gt;=$F$101,$Q69&lt;$F$104,$F$100&lt;&gt;0),$F$100/($F$104-$F$101),0)</f>
        <v>0</v>
      </c>
      <c r="W69" s="25">
        <f t="shared" ref="W69:W132" si="115">SUMIF($J$5:$J$99,Q69,$M$5:$M$99)+IF(AND($Q69&gt;=$M$105,$Q69&lt;$M$102,$M$100&lt;&gt;0),$M$100/($M$102-$M$105),0)</f>
        <v>0</v>
      </c>
      <c r="X69" s="24">
        <f t="shared" ref="X69:X132" si="116">SUMIF($C$85:$C$98,$Q69,$G$85:$G$98)-SUMIF($C$5:$C$84,$Q69,$G$5:$G$84)-IF(AND($Q69&gt;=$G$101,$Q69&lt;$G$104,$G$100&lt;&gt;0),$G$100/($G$104-$G$101),0)</f>
        <v>0</v>
      </c>
      <c r="Y69" s="26">
        <f t="shared" ref="Y69:Y132" si="117">SUMIF($J$5:$J$99,Q69,$N$5:$N$99)+IF(AND($Q69&gt;=$N$105,$Q69&lt;$N$102,$N$100&lt;&gt;0),$N$100/($N$102-$N$105),0)</f>
        <v>0</v>
      </c>
      <c r="Z69" s="27">
        <f t="shared" ref="Z69:Z132" si="118">SUMIF($J$5:$J$99,$Q69,$O$5:$O$99)</f>
        <v>0</v>
      </c>
      <c r="AA69" s="28">
        <f t="shared" ref="AA69:AA132" si="119">Q69</f>
        <v>45173</v>
      </c>
      <c r="AB69" s="24">
        <f t="shared" ref="AB69:AB132" si="120">AB68+R69</f>
        <v>0</v>
      </c>
      <c r="AC69" s="25">
        <f t="shared" ref="AC69:AC132" si="121">AC68+S69</f>
        <v>0</v>
      </c>
      <c r="AD69" s="28">
        <f t="shared" ref="AD69:AD132" si="122">AA69</f>
        <v>45173</v>
      </c>
      <c r="AE69" s="24">
        <f t="shared" ref="AE69:AE132" si="123">AE68+T69</f>
        <v>0</v>
      </c>
      <c r="AF69" s="25">
        <f t="shared" ref="AF69:AF132" si="124">AF68+U69</f>
        <v>0</v>
      </c>
      <c r="AG69" s="28">
        <f t="shared" ref="AG69:AG132" si="125">AD69</f>
        <v>45173</v>
      </c>
      <c r="AH69" s="24">
        <f t="shared" ref="AH69:AH132" si="126">AH68+V69</f>
        <v>0</v>
      </c>
      <c r="AI69" s="25">
        <f t="shared" ref="AI69:AI132" si="127">AI68+W69</f>
        <v>0</v>
      </c>
      <c r="AJ69" s="28">
        <f t="shared" ref="AJ69:AJ132" si="128">AG69</f>
        <v>45173</v>
      </c>
      <c r="AK69" s="24">
        <f t="shared" ref="AK69:AK132" si="129">AK68+X69</f>
        <v>0</v>
      </c>
      <c r="AL69" s="25">
        <f t="shared" ref="AL69:AL132" si="130">AL68+Y69</f>
        <v>0</v>
      </c>
      <c r="AM69" s="29">
        <f t="shared" ref="AM69:AM132" si="131">AM68+Z69</f>
        <v>0</v>
      </c>
      <c r="AN69" s="28">
        <f t="shared" ref="AN69:AN132" si="132">AA69</f>
        <v>45173</v>
      </c>
      <c r="AO69" s="373">
        <f t="shared" si="101"/>
        <v>0</v>
      </c>
      <c r="AP69" s="374">
        <f t="shared" si="102"/>
        <v>0</v>
      </c>
      <c r="AQ69" s="27">
        <f t="shared" si="103"/>
        <v>0</v>
      </c>
      <c r="AR69" s="25">
        <f t="shared" si="104"/>
        <v>0</v>
      </c>
      <c r="AS69" s="25">
        <f t="shared" si="105"/>
        <v>0</v>
      </c>
      <c r="AT69" s="25">
        <f t="shared" si="106"/>
        <v>0</v>
      </c>
      <c r="AU69" s="29">
        <f t="shared" si="85"/>
        <v>0</v>
      </c>
      <c r="AV69" s="27">
        <f t="shared" ref="AV69:AV132" si="133">IF(VALUE(AC69)&gt;0,AB69,0)</f>
        <v>0</v>
      </c>
      <c r="AW69" s="27">
        <f t="shared" ref="AW69:AW132" si="134">IF(VALUE(AF69)&gt;0,AE69,0)</f>
        <v>0</v>
      </c>
      <c r="AX69" s="27">
        <f t="shared" ref="AX69:AX132" si="135">IF(VALUE(AI69)&gt;0,AH69,0)</f>
        <v>0</v>
      </c>
      <c r="AY69" s="27">
        <f t="shared" ref="AY69:AY132" si="136">IF(VALUE(AL69)&gt;0,AK69,0)</f>
        <v>0</v>
      </c>
      <c r="BH69" s="2">
        <f t="shared" ref="BH69:BH132" si="137">IF(AND(BH68=0,BI69&lt;&gt;""),1,IF(AND(BH68=1,BJ68=""),1,0))</f>
        <v>0</v>
      </c>
      <c r="BI69" s="298" t="str">
        <f t="shared" ref="BI69:BI132" si="138">IF(UseSeg="Yes",IF(AND(ROUND(AP68,1)&gt;0,ROUND(AP69,1)&lt;1),AN69,""),"")</f>
        <v/>
      </c>
      <c r="BJ69" s="298" t="str">
        <f t="shared" si="107"/>
        <v/>
      </c>
      <c r="BQ69" s="4">
        <f t="shared" ref="BQ69:BQ132" si="139">AN69</f>
        <v>45173</v>
      </c>
      <c r="BR69" s="112">
        <f t="shared" ref="BR69:BR132" si="140">SUM(AB69,AE69,AH69,AK69)</f>
        <v>0</v>
      </c>
      <c r="BS69" s="112">
        <f t="shared" ref="BS69:BS132" si="141">AB69</f>
        <v>0</v>
      </c>
      <c r="BT69" s="112">
        <f t="shared" ref="BT69:BT132" si="142">AE69</f>
        <v>0</v>
      </c>
      <c r="BU69" s="112">
        <f t="shared" ref="BU69:BU132" si="143">AH69</f>
        <v>0</v>
      </c>
      <c r="BV69" s="112">
        <f t="shared" ref="BV69:BV132" si="144">AK69</f>
        <v>0</v>
      </c>
      <c r="CI69" s="4">
        <f t="shared" ref="CI69:CI132" si="145">BQ69</f>
        <v>45173</v>
      </c>
      <c r="CJ69" s="50">
        <f ca="1">IF($BH69=0,IF($CO69="",CJ68+R69,IF('283'!$K$251=1,VLOOKUP($CO69,PerStBal,2)+R69,IF('283'!$K$253=1,(VLOOKUP($CO69,PerPortion,2)*VLOOKUP($CO69,PerStBal,6))+R69,GL!BS69))),0)</f>
        <v>0</v>
      </c>
      <c r="CK69" s="425">
        <f ca="1">IF($BH69=0,IF($CO69="",CK68+T69,IF('283'!$K$251=1,IF(mname2&lt;&gt;"",VLOOKUP($CO69,PerStBal,3)+T69,0),IF('283'!$K$253=1,(VLOOKUP($CO69,PerPortion,3)*VLOOKUP($CO69,PerStBal,6))+T69,GL!BT69))),0)</f>
        <v>0</v>
      </c>
      <c r="CL69" s="425">
        <f ca="1">IF($BH69=0,IF($CO69="",CL68+V69,IF('283'!$K$251=1,IF(mname3&lt;&gt;"",VLOOKUP($CO69,PerStBal,4)+V69,0),IF('283'!$K$253=1,(VLOOKUP($CO69,PerPortion,4)*VLOOKUP($CO69,PerStBal,6))+V69,GL!BU69))),0)</f>
        <v>0</v>
      </c>
      <c r="CM69" s="425">
        <f ca="1">IF($BH69=0,IF($CO69="",CM68+X69,IF('283'!$K$251=1,IF(mname4&lt;&gt;"",VLOOKUP($CO69,PerStBal,5)+X69,0),IF('283'!$K$253=1,(VLOOKUP($CO69,PerPortion,5)*VLOOKUP($CO69,PerStBal,6))+X69,GL!BV69))),0)</f>
        <v>0</v>
      </c>
      <c r="CN69" s="50">
        <f t="shared" ref="CN69:CN132" ca="1" si="146">IFERROR(VLOOKUP(CO69,PerStBal,6),0)</f>
        <v>0</v>
      </c>
      <c r="CO69" s="4" t="str">
        <f t="shared" ref="CO69:CO132" ca="1" si="147">IFERROR(VLOOKUP(CI69,PerStBal,1,FALSE),"")</f>
        <v/>
      </c>
      <c r="CP69" s="377">
        <f t="shared" si="108"/>
        <v>0</v>
      </c>
      <c r="DI69" s="4">
        <f t="shared" ref="DI69:DI132" si="148">CI69</f>
        <v>45173</v>
      </c>
      <c r="DJ69" s="112">
        <f t="shared" ref="DJ69:DJ132" ca="1" si="149">CJ69</f>
        <v>0</v>
      </c>
      <c r="DK69" s="112">
        <f t="shared" ref="DK69:DK132" si="150">AC69</f>
        <v>0</v>
      </c>
      <c r="DL69" s="4">
        <f t="shared" ref="DL69:DL132" si="151">DI69</f>
        <v>45173</v>
      </c>
      <c r="DM69" s="112">
        <f t="shared" ref="DM69:DM132" ca="1" si="152">CK69</f>
        <v>0</v>
      </c>
      <c r="DN69" s="112">
        <f t="shared" ref="DN69:DN132" si="153">AF69</f>
        <v>0</v>
      </c>
      <c r="DO69" s="4">
        <f t="shared" ref="DO69:DO132" si="154">DL69</f>
        <v>45173</v>
      </c>
      <c r="DP69" s="112">
        <f t="shared" ref="DP69:DP132" ca="1" si="155">CL69</f>
        <v>0</v>
      </c>
      <c r="DQ69" s="112">
        <f t="shared" ref="DQ69:DQ132" si="156">AI69</f>
        <v>0</v>
      </c>
      <c r="DR69" s="4">
        <f t="shared" ref="DR69:DR132" si="157">DO69</f>
        <v>45173</v>
      </c>
      <c r="DS69" s="112">
        <f t="shared" ref="DS69:DS132" ca="1" si="158">CM69</f>
        <v>0</v>
      </c>
      <c r="DT69" s="112">
        <f t="shared" ref="DT69:DT132" si="159">AL69</f>
        <v>0</v>
      </c>
      <c r="DU69" s="4">
        <f t="shared" ref="DU69:DU132" si="160">DR69</f>
        <v>45173</v>
      </c>
      <c r="DV69" s="112">
        <f t="shared" ref="DV69:DV132" si="161">CP69</f>
        <v>0</v>
      </c>
      <c r="DW69" s="112">
        <f t="shared" ref="DW69:DW132" si="162">AP69</f>
        <v>0</v>
      </c>
    </row>
    <row r="70" spans="2:127" x14ac:dyDescent="0.25">
      <c r="B70" s="39" t="str">
        <f>IF(LEFT('283'!B177,1)="R","Benefits Paid","")</f>
        <v/>
      </c>
      <c r="C70" s="3" t="str">
        <f>IF(B70&lt;&gt;"",IF('283'!C177&lt;&gt;"",'283'!C177,""),"")</f>
        <v/>
      </c>
      <c r="D70" s="40" t="str">
        <f>IF($B70&lt;&gt;"",IF('283'!D177&lt;&gt;"",'283'!D177,""),"")</f>
        <v/>
      </c>
      <c r="E70" s="40" t="str">
        <f>IF($B70&lt;&gt;"",IF('283'!E177&lt;&gt;"",'283'!E177,""),"")</f>
        <v/>
      </c>
      <c r="F70" s="40" t="str">
        <f>IF($B70&lt;&gt;"",IF('283'!F177&lt;&gt;"",'283'!F177,""),"")</f>
        <v/>
      </c>
      <c r="G70" s="41" t="str">
        <f>IF($B70&lt;&gt;"",IF('283'!G177&lt;&gt;"",'283'!G177,""),"")</f>
        <v/>
      </c>
      <c r="H70" s="23">
        <v>66</v>
      </c>
      <c r="I70" s="42" t="str">
        <f>IF(AND(LEFT('283'!B177,1)&lt;&gt;"R",LEFT('283'!B177,1)&lt;&gt;""),'283'!B177,"")</f>
        <v/>
      </c>
      <c r="J70" s="3" t="str">
        <f>IF(I70&lt;&gt;"",IF('283'!C177&lt;&gt;"",'283'!C177,""),"")</f>
        <v/>
      </c>
      <c r="K70" s="40" t="str">
        <f>IF($I70&lt;&gt;"",IF('283'!D177&lt;&gt;"",IF(LEFT($I70,1)="N",-'283'!D177,'283'!D177),""),"")</f>
        <v/>
      </c>
      <c r="L70" s="40" t="str">
        <f>IF($I70&lt;&gt;"",IF('283'!E177&lt;&gt;"",IF(LEFT($I70,1)="N",-'283'!E177,'283'!E177),""),"")</f>
        <v/>
      </c>
      <c r="M70" s="40" t="str">
        <f>IF($I70&lt;&gt;"",IF('283'!F177&lt;&gt;"",IF(LEFT($I70,1)="N",-'283'!F177,'283'!F177),""),"")</f>
        <v/>
      </c>
      <c r="N70" s="40" t="str">
        <f>IF($I70&lt;&gt;"",IF('283'!G177&lt;&gt;"",IF(LEFT($I70,1)="N",-'283'!G177,'283'!G177),""),"")</f>
        <v/>
      </c>
      <c r="O70" s="43"/>
      <c r="P70" s="38"/>
      <c r="Q70" s="4">
        <f t="shared" si="109"/>
        <v>45174</v>
      </c>
      <c r="R70" s="24">
        <f t="shared" si="110"/>
        <v>0</v>
      </c>
      <c r="S70" s="25">
        <f t="shared" si="111"/>
        <v>0</v>
      </c>
      <c r="T70" s="24">
        <f t="shared" si="112"/>
        <v>0</v>
      </c>
      <c r="U70" s="25">
        <f t="shared" si="113"/>
        <v>0</v>
      </c>
      <c r="V70" s="24">
        <f t="shared" si="114"/>
        <v>0</v>
      </c>
      <c r="W70" s="25">
        <f t="shared" si="115"/>
        <v>0</v>
      </c>
      <c r="X70" s="24">
        <f t="shared" si="116"/>
        <v>0</v>
      </c>
      <c r="Y70" s="26">
        <f t="shared" si="117"/>
        <v>0</v>
      </c>
      <c r="Z70" s="27">
        <f t="shared" si="118"/>
        <v>0</v>
      </c>
      <c r="AA70" s="28">
        <f t="shared" si="119"/>
        <v>45174</v>
      </c>
      <c r="AB70" s="24">
        <f t="shared" si="120"/>
        <v>0</v>
      </c>
      <c r="AC70" s="25">
        <f t="shared" si="121"/>
        <v>0</v>
      </c>
      <c r="AD70" s="28">
        <f t="shared" si="122"/>
        <v>45174</v>
      </c>
      <c r="AE70" s="24">
        <f t="shared" si="123"/>
        <v>0</v>
      </c>
      <c r="AF70" s="25">
        <f t="shared" si="124"/>
        <v>0</v>
      </c>
      <c r="AG70" s="28">
        <f t="shared" si="125"/>
        <v>45174</v>
      </c>
      <c r="AH70" s="24">
        <f t="shared" si="126"/>
        <v>0</v>
      </c>
      <c r="AI70" s="25">
        <f t="shared" si="127"/>
        <v>0</v>
      </c>
      <c r="AJ70" s="28">
        <f t="shared" si="128"/>
        <v>45174</v>
      </c>
      <c r="AK70" s="24">
        <f t="shared" si="129"/>
        <v>0</v>
      </c>
      <c r="AL70" s="25">
        <f t="shared" si="130"/>
        <v>0</v>
      </c>
      <c r="AM70" s="29">
        <f t="shared" si="131"/>
        <v>0</v>
      </c>
      <c r="AN70" s="28">
        <f t="shared" si="132"/>
        <v>45174</v>
      </c>
      <c r="AO70" s="373">
        <f t="shared" si="101"/>
        <v>0</v>
      </c>
      <c r="AP70" s="374">
        <f t="shared" si="102"/>
        <v>0</v>
      </c>
      <c r="AQ70" s="27">
        <f t="shared" si="103"/>
        <v>0</v>
      </c>
      <c r="AR70" s="25">
        <f t="shared" si="104"/>
        <v>0</v>
      </c>
      <c r="AS70" s="25">
        <f t="shared" si="105"/>
        <v>0</v>
      </c>
      <c r="AT70" s="25">
        <f t="shared" si="106"/>
        <v>0</v>
      </c>
      <c r="AU70" s="29">
        <f t="shared" ref="AU70:AU133" si="163">AM70</f>
        <v>0</v>
      </c>
      <c r="AV70" s="27">
        <f t="shared" si="133"/>
        <v>0</v>
      </c>
      <c r="AW70" s="27">
        <f t="shared" si="134"/>
        <v>0</v>
      </c>
      <c r="AX70" s="27">
        <f t="shared" si="135"/>
        <v>0</v>
      </c>
      <c r="AY70" s="27">
        <f t="shared" si="136"/>
        <v>0</v>
      </c>
      <c r="BH70" s="2">
        <f t="shared" si="137"/>
        <v>0</v>
      </c>
      <c r="BI70" s="298" t="str">
        <f t="shared" si="138"/>
        <v/>
      </c>
      <c r="BJ70" s="298" t="str">
        <f t="shared" si="107"/>
        <v/>
      </c>
      <c r="BQ70" s="4">
        <f t="shared" si="139"/>
        <v>45174</v>
      </c>
      <c r="BR70" s="112">
        <f t="shared" si="140"/>
        <v>0</v>
      </c>
      <c r="BS70" s="112">
        <f t="shared" si="141"/>
        <v>0</v>
      </c>
      <c r="BT70" s="112">
        <f t="shared" si="142"/>
        <v>0</v>
      </c>
      <c r="BU70" s="112">
        <f t="shared" si="143"/>
        <v>0</v>
      </c>
      <c r="BV70" s="112">
        <f t="shared" si="144"/>
        <v>0</v>
      </c>
      <c r="CI70" s="4">
        <f t="shared" si="145"/>
        <v>45174</v>
      </c>
      <c r="CJ70" s="50">
        <f ca="1">IF($BH70=0,IF($CO70="",CJ69+R70,IF('283'!$K$251=1,VLOOKUP($CO70,PerStBal,2)+R70,IF('283'!$K$253=1,(VLOOKUP($CO70,PerPortion,2)*VLOOKUP($CO70,PerStBal,6))+R70,GL!BS70))),0)</f>
        <v>0</v>
      </c>
      <c r="CK70" s="425">
        <f ca="1">IF($BH70=0,IF($CO70="",CK69+T70,IF('283'!$K$251=1,IF(mname2&lt;&gt;"",VLOOKUP($CO70,PerStBal,3)+T70,0),IF('283'!$K$253=1,(VLOOKUP($CO70,PerPortion,3)*VLOOKUP($CO70,PerStBal,6))+T70,GL!BT70))),0)</f>
        <v>0</v>
      </c>
      <c r="CL70" s="425">
        <f ca="1">IF($BH70=0,IF($CO70="",CL69+V70,IF('283'!$K$251=1,IF(mname3&lt;&gt;"",VLOOKUP($CO70,PerStBal,4)+V70,0),IF('283'!$K$253=1,(VLOOKUP($CO70,PerPortion,4)*VLOOKUP($CO70,PerStBal,6))+V70,GL!BU70))),0)</f>
        <v>0</v>
      </c>
      <c r="CM70" s="425">
        <f ca="1">IF($BH70=0,IF($CO70="",CM69+X70,IF('283'!$K$251=1,IF(mname4&lt;&gt;"",VLOOKUP($CO70,PerStBal,5)+X70,0),IF('283'!$K$253=1,(VLOOKUP($CO70,PerPortion,5)*VLOOKUP($CO70,PerStBal,6))+X70,GL!BV70))),0)</f>
        <v>0</v>
      </c>
      <c r="CN70" s="50">
        <f t="shared" ca="1" si="146"/>
        <v>0</v>
      </c>
      <c r="CO70" s="4" t="str">
        <f t="shared" ca="1" si="147"/>
        <v/>
      </c>
      <c r="CP70" s="377">
        <f t="shared" si="108"/>
        <v>0</v>
      </c>
      <c r="DI70" s="4">
        <f t="shared" si="148"/>
        <v>45174</v>
      </c>
      <c r="DJ70" s="112">
        <f t="shared" ca="1" si="149"/>
        <v>0</v>
      </c>
      <c r="DK70" s="112">
        <f t="shared" si="150"/>
        <v>0</v>
      </c>
      <c r="DL70" s="4">
        <f t="shared" si="151"/>
        <v>45174</v>
      </c>
      <c r="DM70" s="112">
        <f t="shared" ca="1" si="152"/>
        <v>0</v>
      </c>
      <c r="DN70" s="112">
        <f t="shared" si="153"/>
        <v>0</v>
      </c>
      <c r="DO70" s="4">
        <f t="shared" si="154"/>
        <v>45174</v>
      </c>
      <c r="DP70" s="112">
        <f t="shared" ca="1" si="155"/>
        <v>0</v>
      </c>
      <c r="DQ70" s="112">
        <f t="shared" si="156"/>
        <v>0</v>
      </c>
      <c r="DR70" s="4">
        <f t="shared" si="157"/>
        <v>45174</v>
      </c>
      <c r="DS70" s="112">
        <f t="shared" ca="1" si="158"/>
        <v>0</v>
      </c>
      <c r="DT70" s="112">
        <f t="shared" si="159"/>
        <v>0</v>
      </c>
      <c r="DU70" s="4">
        <f t="shared" si="160"/>
        <v>45174</v>
      </c>
      <c r="DV70" s="112">
        <f t="shared" si="161"/>
        <v>0</v>
      </c>
      <c r="DW70" s="112">
        <f t="shared" si="162"/>
        <v>0</v>
      </c>
    </row>
    <row r="71" spans="2:127" x14ac:dyDescent="0.25">
      <c r="B71" s="39" t="str">
        <f>IF(LEFT('283'!B178,1)="R","Benefits Paid","")</f>
        <v/>
      </c>
      <c r="C71" s="3" t="str">
        <f>IF(B71&lt;&gt;"",IF('283'!C178&lt;&gt;"",'283'!C178,""),"")</f>
        <v/>
      </c>
      <c r="D71" s="40" t="str">
        <f>IF($B71&lt;&gt;"",IF('283'!D178&lt;&gt;"",'283'!D178,""),"")</f>
        <v/>
      </c>
      <c r="E71" s="40" t="str">
        <f>IF($B71&lt;&gt;"",IF('283'!E178&lt;&gt;"",'283'!E178,""),"")</f>
        <v/>
      </c>
      <c r="F71" s="40" t="str">
        <f>IF($B71&lt;&gt;"",IF('283'!F178&lt;&gt;"",'283'!F178,""),"")</f>
        <v/>
      </c>
      <c r="G71" s="41" t="str">
        <f>IF($B71&lt;&gt;"",IF('283'!G178&lt;&gt;"",'283'!G178,""),"")</f>
        <v/>
      </c>
      <c r="H71" s="23">
        <v>67</v>
      </c>
      <c r="I71" s="42" t="str">
        <f>IF(AND(LEFT('283'!B178,1)&lt;&gt;"R",LEFT('283'!B178,1)&lt;&gt;""),'283'!B178,"")</f>
        <v/>
      </c>
      <c r="J71" s="3" t="str">
        <f>IF(I71&lt;&gt;"",IF('283'!C178&lt;&gt;"",'283'!C178,""),"")</f>
        <v/>
      </c>
      <c r="K71" s="40" t="str">
        <f>IF($I71&lt;&gt;"",IF('283'!D178&lt;&gt;"",IF(LEFT($I71,1)="N",-'283'!D178,'283'!D178),""),"")</f>
        <v/>
      </c>
      <c r="L71" s="40" t="str">
        <f>IF($I71&lt;&gt;"",IF('283'!E178&lt;&gt;"",IF(LEFT($I71,1)="N",-'283'!E178,'283'!E178),""),"")</f>
        <v/>
      </c>
      <c r="M71" s="40" t="str">
        <f>IF($I71&lt;&gt;"",IF('283'!F178&lt;&gt;"",IF(LEFT($I71,1)="N",-'283'!F178,'283'!F178),""),"")</f>
        <v/>
      </c>
      <c r="N71" s="40" t="str">
        <f>IF($I71&lt;&gt;"",IF('283'!G178&lt;&gt;"",IF(LEFT($I71,1)="N",-'283'!G178,'283'!G178),""),"")</f>
        <v/>
      </c>
      <c r="O71" s="43"/>
      <c r="P71" s="38"/>
      <c r="Q71" s="4">
        <f t="shared" si="109"/>
        <v>45175</v>
      </c>
      <c r="R71" s="24">
        <f t="shared" si="110"/>
        <v>0</v>
      </c>
      <c r="S71" s="25">
        <f t="shared" si="111"/>
        <v>0</v>
      </c>
      <c r="T71" s="24">
        <f t="shared" si="112"/>
        <v>0</v>
      </c>
      <c r="U71" s="25">
        <f t="shared" si="113"/>
        <v>0</v>
      </c>
      <c r="V71" s="24">
        <f t="shared" si="114"/>
        <v>0</v>
      </c>
      <c r="W71" s="25">
        <f t="shared" si="115"/>
        <v>0</v>
      </c>
      <c r="X71" s="24">
        <f t="shared" si="116"/>
        <v>0</v>
      </c>
      <c r="Y71" s="26">
        <f t="shared" si="117"/>
        <v>0</v>
      </c>
      <c r="Z71" s="27">
        <f t="shared" si="118"/>
        <v>0</v>
      </c>
      <c r="AA71" s="28">
        <f t="shared" si="119"/>
        <v>45175</v>
      </c>
      <c r="AB71" s="24">
        <f t="shared" si="120"/>
        <v>0</v>
      </c>
      <c r="AC71" s="25">
        <f t="shared" si="121"/>
        <v>0</v>
      </c>
      <c r="AD71" s="28">
        <f t="shared" si="122"/>
        <v>45175</v>
      </c>
      <c r="AE71" s="24">
        <f t="shared" si="123"/>
        <v>0</v>
      </c>
      <c r="AF71" s="25">
        <f t="shared" si="124"/>
        <v>0</v>
      </c>
      <c r="AG71" s="28">
        <f t="shared" si="125"/>
        <v>45175</v>
      </c>
      <c r="AH71" s="24">
        <f t="shared" si="126"/>
        <v>0</v>
      </c>
      <c r="AI71" s="25">
        <f t="shared" si="127"/>
        <v>0</v>
      </c>
      <c r="AJ71" s="28">
        <f t="shared" si="128"/>
        <v>45175</v>
      </c>
      <c r="AK71" s="24">
        <f t="shared" si="129"/>
        <v>0</v>
      </c>
      <c r="AL71" s="25">
        <f t="shared" si="130"/>
        <v>0</v>
      </c>
      <c r="AM71" s="29">
        <f t="shared" si="131"/>
        <v>0</v>
      </c>
      <c r="AN71" s="28">
        <f t="shared" si="132"/>
        <v>45175</v>
      </c>
      <c r="AO71" s="373">
        <f t="shared" si="101"/>
        <v>0</v>
      </c>
      <c r="AP71" s="374">
        <f t="shared" si="102"/>
        <v>0</v>
      </c>
      <c r="AQ71" s="27">
        <f t="shared" si="103"/>
        <v>0</v>
      </c>
      <c r="AR71" s="25">
        <f t="shared" si="104"/>
        <v>0</v>
      </c>
      <c r="AS71" s="25">
        <f t="shared" si="105"/>
        <v>0</v>
      </c>
      <c r="AT71" s="25">
        <f t="shared" si="106"/>
        <v>0</v>
      </c>
      <c r="AU71" s="29">
        <f t="shared" si="163"/>
        <v>0</v>
      </c>
      <c r="AV71" s="27">
        <f t="shared" si="133"/>
        <v>0</v>
      </c>
      <c r="AW71" s="27">
        <f t="shared" si="134"/>
        <v>0</v>
      </c>
      <c r="AX71" s="27">
        <f t="shared" si="135"/>
        <v>0</v>
      </c>
      <c r="AY71" s="27">
        <f t="shared" si="136"/>
        <v>0</v>
      </c>
      <c r="BH71" s="2">
        <f t="shared" si="137"/>
        <v>0</v>
      </c>
      <c r="BI71" s="298" t="str">
        <f t="shared" si="138"/>
        <v/>
      </c>
      <c r="BJ71" s="298" t="str">
        <f t="shared" si="107"/>
        <v/>
      </c>
      <c r="BQ71" s="4">
        <f t="shared" si="139"/>
        <v>45175</v>
      </c>
      <c r="BR71" s="112">
        <f t="shared" si="140"/>
        <v>0</v>
      </c>
      <c r="BS71" s="112">
        <f t="shared" si="141"/>
        <v>0</v>
      </c>
      <c r="BT71" s="112">
        <f t="shared" si="142"/>
        <v>0</v>
      </c>
      <c r="BU71" s="112">
        <f t="shared" si="143"/>
        <v>0</v>
      </c>
      <c r="BV71" s="112">
        <f t="shared" si="144"/>
        <v>0</v>
      </c>
      <c r="CI71" s="4">
        <f t="shared" si="145"/>
        <v>45175</v>
      </c>
      <c r="CJ71" s="50">
        <f ca="1">IF($BH71=0,IF($CO71="",CJ70+R71,IF('283'!$K$251=1,VLOOKUP($CO71,PerStBal,2)+R71,IF('283'!$K$253=1,(VLOOKUP($CO71,PerPortion,2)*VLOOKUP($CO71,PerStBal,6))+R71,GL!BS71))),0)</f>
        <v>0</v>
      </c>
      <c r="CK71" s="425">
        <f ca="1">IF($BH71=0,IF($CO71="",CK70+T71,IF('283'!$K$251=1,IF(mname2&lt;&gt;"",VLOOKUP($CO71,PerStBal,3)+T71,0),IF('283'!$K$253=1,(VLOOKUP($CO71,PerPortion,3)*VLOOKUP($CO71,PerStBal,6))+T71,GL!BT71))),0)</f>
        <v>0</v>
      </c>
      <c r="CL71" s="425">
        <f ca="1">IF($BH71=0,IF($CO71="",CL70+V71,IF('283'!$K$251=1,IF(mname3&lt;&gt;"",VLOOKUP($CO71,PerStBal,4)+V71,0),IF('283'!$K$253=1,(VLOOKUP($CO71,PerPortion,4)*VLOOKUP($CO71,PerStBal,6))+V71,GL!BU71))),0)</f>
        <v>0</v>
      </c>
      <c r="CM71" s="425">
        <f ca="1">IF($BH71=0,IF($CO71="",CM70+X71,IF('283'!$K$251=1,IF(mname4&lt;&gt;"",VLOOKUP($CO71,PerStBal,5)+X71,0),IF('283'!$K$253=1,(VLOOKUP($CO71,PerPortion,5)*VLOOKUP($CO71,PerStBal,6))+X71,GL!BV71))),0)</f>
        <v>0</v>
      </c>
      <c r="CN71" s="50">
        <f t="shared" ca="1" si="146"/>
        <v>0</v>
      </c>
      <c r="CO71" s="4" t="str">
        <f t="shared" ca="1" si="147"/>
        <v/>
      </c>
      <c r="CP71" s="377">
        <f t="shared" si="108"/>
        <v>0</v>
      </c>
      <c r="DI71" s="4">
        <f t="shared" si="148"/>
        <v>45175</v>
      </c>
      <c r="DJ71" s="112">
        <f t="shared" ca="1" si="149"/>
        <v>0</v>
      </c>
      <c r="DK71" s="112">
        <f t="shared" si="150"/>
        <v>0</v>
      </c>
      <c r="DL71" s="4">
        <f t="shared" si="151"/>
        <v>45175</v>
      </c>
      <c r="DM71" s="112">
        <f t="shared" ca="1" si="152"/>
        <v>0</v>
      </c>
      <c r="DN71" s="112">
        <f t="shared" si="153"/>
        <v>0</v>
      </c>
      <c r="DO71" s="4">
        <f t="shared" si="154"/>
        <v>45175</v>
      </c>
      <c r="DP71" s="112">
        <f t="shared" ca="1" si="155"/>
        <v>0</v>
      </c>
      <c r="DQ71" s="112">
        <f t="shared" si="156"/>
        <v>0</v>
      </c>
      <c r="DR71" s="4">
        <f t="shared" si="157"/>
        <v>45175</v>
      </c>
      <c r="DS71" s="112">
        <f t="shared" ca="1" si="158"/>
        <v>0</v>
      </c>
      <c r="DT71" s="112">
        <f t="shared" si="159"/>
        <v>0</v>
      </c>
      <c r="DU71" s="4">
        <f t="shared" si="160"/>
        <v>45175</v>
      </c>
      <c r="DV71" s="112">
        <f t="shared" si="161"/>
        <v>0</v>
      </c>
      <c r="DW71" s="112">
        <f t="shared" si="162"/>
        <v>0</v>
      </c>
    </row>
    <row r="72" spans="2:127" x14ac:dyDescent="0.25">
      <c r="B72" s="39" t="str">
        <f>IF(LEFT('283'!B179,1)="R","Benefits Paid","")</f>
        <v/>
      </c>
      <c r="C72" s="3" t="str">
        <f>IF(B72&lt;&gt;"",IF('283'!C179&lt;&gt;"",'283'!C179,""),"")</f>
        <v/>
      </c>
      <c r="D72" s="40" t="str">
        <f>IF($B72&lt;&gt;"",IF('283'!D179&lt;&gt;"",'283'!D179,""),"")</f>
        <v/>
      </c>
      <c r="E72" s="40" t="str">
        <f>IF($B72&lt;&gt;"",IF('283'!E179&lt;&gt;"",'283'!E179,""),"")</f>
        <v/>
      </c>
      <c r="F72" s="40" t="str">
        <f>IF($B72&lt;&gt;"",IF('283'!F179&lt;&gt;"",'283'!F179,""),"")</f>
        <v/>
      </c>
      <c r="G72" s="41" t="str">
        <f>IF($B72&lt;&gt;"",IF('283'!G179&lt;&gt;"",'283'!G179,""),"")</f>
        <v/>
      </c>
      <c r="H72" s="23">
        <v>68</v>
      </c>
      <c r="I72" s="42" t="str">
        <f>IF(AND(LEFT('283'!B179,1)&lt;&gt;"R",LEFT('283'!B179,1)&lt;&gt;""),'283'!B179,"")</f>
        <v/>
      </c>
      <c r="J72" s="3" t="str">
        <f>IF(I72&lt;&gt;"",IF('283'!C179&lt;&gt;"",'283'!C179,""),"")</f>
        <v/>
      </c>
      <c r="K72" s="40" t="str">
        <f>IF($I72&lt;&gt;"",IF('283'!D179&lt;&gt;"",IF(LEFT($I72,1)="N",-'283'!D179,'283'!D179),""),"")</f>
        <v/>
      </c>
      <c r="L72" s="40" t="str">
        <f>IF($I72&lt;&gt;"",IF('283'!E179&lt;&gt;"",IF(LEFT($I72,1)="N",-'283'!E179,'283'!E179),""),"")</f>
        <v/>
      </c>
      <c r="M72" s="40" t="str">
        <f>IF($I72&lt;&gt;"",IF('283'!F179&lt;&gt;"",IF(LEFT($I72,1)="N",-'283'!F179,'283'!F179),""),"")</f>
        <v/>
      </c>
      <c r="N72" s="40" t="str">
        <f>IF($I72&lt;&gt;"",IF('283'!G179&lt;&gt;"",IF(LEFT($I72,1)="N",-'283'!G179,'283'!G179),""),"")</f>
        <v/>
      </c>
      <c r="O72" s="43"/>
      <c r="P72" s="38"/>
      <c r="Q72" s="4">
        <f t="shared" si="109"/>
        <v>45176</v>
      </c>
      <c r="R72" s="24">
        <f t="shared" si="110"/>
        <v>0</v>
      </c>
      <c r="S72" s="25">
        <f t="shared" si="111"/>
        <v>0</v>
      </c>
      <c r="T72" s="24">
        <f t="shared" si="112"/>
        <v>0</v>
      </c>
      <c r="U72" s="25">
        <f t="shared" si="113"/>
        <v>0</v>
      </c>
      <c r="V72" s="24">
        <f t="shared" si="114"/>
        <v>0</v>
      </c>
      <c r="W72" s="25">
        <f t="shared" si="115"/>
        <v>0</v>
      </c>
      <c r="X72" s="24">
        <f t="shared" si="116"/>
        <v>0</v>
      </c>
      <c r="Y72" s="26">
        <f t="shared" si="117"/>
        <v>0</v>
      </c>
      <c r="Z72" s="27">
        <f t="shared" si="118"/>
        <v>0</v>
      </c>
      <c r="AA72" s="28">
        <f t="shared" si="119"/>
        <v>45176</v>
      </c>
      <c r="AB72" s="24">
        <f t="shared" si="120"/>
        <v>0</v>
      </c>
      <c r="AC72" s="25">
        <f t="shared" si="121"/>
        <v>0</v>
      </c>
      <c r="AD72" s="28">
        <f t="shared" si="122"/>
        <v>45176</v>
      </c>
      <c r="AE72" s="24">
        <f t="shared" si="123"/>
        <v>0</v>
      </c>
      <c r="AF72" s="25">
        <f t="shared" si="124"/>
        <v>0</v>
      </c>
      <c r="AG72" s="28">
        <f t="shared" si="125"/>
        <v>45176</v>
      </c>
      <c r="AH72" s="24">
        <f t="shared" si="126"/>
        <v>0</v>
      </c>
      <c r="AI72" s="25">
        <f t="shared" si="127"/>
        <v>0</v>
      </c>
      <c r="AJ72" s="28">
        <f t="shared" si="128"/>
        <v>45176</v>
      </c>
      <c r="AK72" s="24">
        <f t="shared" si="129"/>
        <v>0</v>
      </c>
      <c r="AL72" s="25">
        <f t="shared" si="130"/>
        <v>0</v>
      </c>
      <c r="AM72" s="29">
        <f t="shared" si="131"/>
        <v>0</v>
      </c>
      <c r="AN72" s="28">
        <f t="shared" si="132"/>
        <v>45176</v>
      </c>
      <c r="AO72" s="373">
        <f t="shared" si="101"/>
        <v>0</v>
      </c>
      <c r="AP72" s="374">
        <f t="shared" si="102"/>
        <v>0</v>
      </c>
      <c r="AQ72" s="27">
        <f t="shared" si="103"/>
        <v>0</v>
      </c>
      <c r="AR72" s="25">
        <f t="shared" si="104"/>
        <v>0</v>
      </c>
      <c r="AS72" s="25">
        <f t="shared" si="105"/>
        <v>0</v>
      </c>
      <c r="AT72" s="25">
        <f t="shared" si="106"/>
        <v>0</v>
      </c>
      <c r="AU72" s="29">
        <f t="shared" si="163"/>
        <v>0</v>
      </c>
      <c r="AV72" s="27">
        <f t="shared" si="133"/>
        <v>0</v>
      </c>
      <c r="AW72" s="27">
        <f t="shared" si="134"/>
        <v>0</v>
      </c>
      <c r="AX72" s="27">
        <f t="shared" si="135"/>
        <v>0</v>
      </c>
      <c r="AY72" s="27">
        <f t="shared" si="136"/>
        <v>0</v>
      </c>
      <c r="BH72" s="2">
        <f t="shared" si="137"/>
        <v>0</v>
      </c>
      <c r="BI72" s="298" t="str">
        <f t="shared" si="138"/>
        <v/>
      </c>
      <c r="BJ72" s="298" t="str">
        <f t="shared" si="107"/>
        <v/>
      </c>
      <c r="BQ72" s="4">
        <f t="shared" si="139"/>
        <v>45176</v>
      </c>
      <c r="BR72" s="112">
        <f t="shared" si="140"/>
        <v>0</v>
      </c>
      <c r="BS72" s="112">
        <f t="shared" si="141"/>
        <v>0</v>
      </c>
      <c r="BT72" s="112">
        <f t="shared" si="142"/>
        <v>0</v>
      </c>
      <c r="BU72" s="112">
        <f t="shared" si="143"/>
        <v>0</v>
      </c>
      <c r="BV72" s="112">
        <f t="shared" si="144"/>
        <v>0</v>
      </c>
      <c r="CI72" s="4">
        <f t="shared" si="145"/>
        <v>45176</v>
      </c>
      <c r="CJ72" s="50">
        <f ca="1">IF($BH72=0,IF($CO72="",CJ71+R72,IF('283'!$K$251=1,VLOOKUP($CO72,PerStBal,2)+R72,IF('283'!$K$253=1,(VLOOKUP($CO72,PerPortion,2)*VLOOKUP($CO72,PerStBal,6))+R72,GL!BS72))),0)</f>
        <v>0</v>
      </c>
      <c r="CK72" s="425">
        <f ca="1">IF($BH72=0,IF($CO72="",CK71+T72,IF('283'!$K$251=1,IF(mname2&lt;&gt;"",VLOOKUP($CO72,PerStBal,3)+T72,0),IF('283'!$K$253=1,(VLOOKUP($CO72,PerPortion,3)*VLOOKUP($CO72,PerStBal,6))+T72,GL!BT72))),0)</f>
        <v>0</v>
      </c>
      <c r="CL72" s="425">
        <f ca="1">IF($BH72=0,IF($CO72="",CL71+V72,IF('283'!$K$251=1,IF(mname3&lt;&gt;"",VLOOKUP($CO72,PerStBal,4)+V72,0),IF('283'!$K$253=1,(VLOOKUP($CO72,PerPortion,4)*VLOOKUP($CO72,PerStBal,6))+V72,GL!BU72))),0)</f>
        <v>0</v>
      </c>
      <c r="CM72" s="425">
        <f ca="1">IF($BH72=0,IF($CO72="",CM71+X72,IF('283'!$K$251=1,IF(mname4&lt;&gt;"",VLOOKUP($CO72,PerStBal,5)+X72,0),IF('283'!$K$253=1,(VLOOKUP($CO72,PerPortion,5)*VLOOKUP($CO72,PerStBal,6))+X72,GL!BV72))),0)</f>
        <v>0</v>
      </c>
      <c r="CN72" s="50">
        <f t="shared" ca="1" si="146"/>
        <v>0</v>
      </c>
      <c r="CO72" s="4" t="str">
        <f t="shared" ca="1" si="147"/>
        <v/>
      </c>
      <c r="CP72" s="377">
        <f t="shared" si="108"/>
        <v>0</v>
      </c>
      <c r="DI72" s="4">
        <f t="shared" si="148"/>
        <v>45176</v>
      </c>
      <c r="DJ72" s="112">
        <f t="shared" ca="1" si="149"/>
        <v>0</v>
      </c>
      <c r="DK72" s="112">
        <f t="shared" si="150"/>
        <v>0</v>
      </c>
      <c r="DL72" s="4">
        <f t="shared" si="151"/>
        <v>45176</v>
      </c>
      <c r="DM72" s="112">
        <f t="shared" ca="1" si="152"/>
        <v>0</v>
      </c>
      <c r="DN72" s="112">
        <f t="shared" si="153"/>
        <v>0</v>
      </c>
      <c r="DO72" s="4">
        <f t="shared" si="154"/>
        <v>45176</v>
      </c>
      <c r="DP72" s="112">
        <f t="shared" ca="1" si="155"/>
        <v>0</v>
      </c>
      <c r="DQ72" s="112">
        <f t="shared" si="156"/>
        <v>0</v>
      </c>
      <c r="DR72" s="4">
        <f t="shared" si="157"/>
        <v>45176</v>
      </c>
      <c r="DS72" s="112">
        <f t="shared" ca="1" si="158"/>
        <v>0</v>
      </c>
      <c r="DT72" s="112">
        <f t="shared" si="159"/>
        <v>0</v>
      </c>
      <c r="DU72" s="4">
        <f t="shared" si="160"/>
        <v>45176</v>
      </c>
      <c r="DV72" s="112">
        <f t="shared" si="161"/>
        <v>0</v>
      </c>
      <c r="DW72" s="112">
        <f t="shared" si="162"/>
        <v>0</v>
      </c>
    </row>
    <row r="73" spans="2:127" x14ac:dyDescent="0.25">
      <c r="B73" s="39" t="str">
        <f>IF(LEFT('283'!B180,1)="R","Benefits Paid","")</f>
        <v/>
      </c>
      <c r="C73" s="3" t="str">
        <f>IF(B73&lt;&gt;"",IF('283'!C180&lt;&gt;"",'283'!C180,""),"")</f>
        <v/>
      </c>
      <c r="D73" s="40" t="str">
        <f>IF($B73&lt;&gt;"",IF('283'!D180&lt;&gt;"",'283'!D180,""),"")</f>
        <v/>
      </c>
      <c r="E73" s="40" t="str">
        <f>IF($B73&lt;&gt;"",IF('283'!E180&lt;&gt;"",'283'!E180,""),"")</f>
        <v/>
      </c>
      <c r="F73" s="40" t="str">
        <f>IF($B73&lt;&gt;"",IF('283'!F180&lt;&gt;"",'283'!F180,""),"")</f>
        <v/>
      </c>
      <c r="G73" s="41" t="str">
        <f>IF($B73&lt;&gt;"",IF('283'!G180&lt;&gt;"",'283'!G180,""),"")</f>
        <v/>
      </c>
      <c r="H73" s="23">
        <v>69</v>
      </c>
      <c r="I73" s="42" t="str">
        <f>IF(AND(LEFT('283'!B180,1)&lt;&gt;"R",LEFT('283'!B180,1)&lt;&gt;""),'283'!B180,"")</f>
        <v/>
      </c>
      <c r="J73" s="3" t="str">
        <f>IF(I73&lt;&gt;"",IF('283'!C180&lt;&gt;"",'283'!C180,""),"")</f>
        <v/>
      </c>
      <c r="K73" s="40" t="str">
        <f>IF($I73&lt;&gt;"",IF('283'!D180&lt;&gt;"",IF(LEFT($I73,1)="N",-'283'!D180,'283'!D180),""),"")</f>
        <v/>
      </c>
      <c r="L73" s="40" t="str">
        <f>IF($I73&lt;&gt;"",IF('283'!E180&lt;&gt;"",IF(LEFT($I73,1)="N",-'283'!E180,'283'!E180),""),"")</f>
        <v/>
      </c>
      <c r="M73" s="40" t="str">
        <f>IF($I73&lt;&gt;"",IF('283'!F180&lt;&gt;"",IF(LEFT($I73,1)="N",-'283'!F180,'283'!F180),""),"")</f>
        <v/>
      </c>
      <c r="N73" s="40" t="str">
        <f>IF($I73&lt;&gt;"",IF('283'!G180&lt;&gt;"",IF(LEFT($I73,1)="N",-'283'!G180,'283'!G180),""),"")</f>
        <v/>
      </c>
      <c r="O73" s="43"/>
      <c r="P73" s="38"/>
      <c r="Q73" s="4">
        <f t="shared" si="109"/>
        <v>45177</v>
      </c>
      <c r="R73" s="24">
        <f t="shared" si="110"/>
        <v>0</v>
      </c>
      <c r="S73" s="25">
        <f t="shared" si="111"/>
        <v>0</v>
      </c>
      <c r="T73" s="24">
        <f t="shared" si="112"/>
        <v>0</v>
      </c>
      <c r="U73" s="25">
        <f t="shared" si="113"/>
        <v>0</v>
      </c>
      <c r="V73" s="24">
        <f t="shared" si="114"/>
        <v>0</v>
      </c>
      <c r="W73" s="25">
        <f t="shared" si="115"/>
        <v>0</v>
      </c>
      <c r="X73" s="24">
        <f t="shared" si="116"/>
        <v>0</v>
      </c>
      <c r="Y73" s="26">
        <f t="shared" si="117"/>
        <v>0</v>
      </c>
      <c r="Z73" s="27">
        <f t="shared" si="118"/>
        <v>0</v>
      </c>
      <c r="AA73" s="28">
        <f t="shared" si="119"/>
        <v>45177</v>
      </c>
      <c r="AB73" s="24">
        <f t="shared" si="120"/>
        <v>0</v>
      </c>
      <c r="AC73" s="25">
        <f t="shared" si="121"/>
        <v>0</v>
      </c>
      <c r="AD73" s="28">
        <f t="shared" si="122"/>
        <v>45177</v>
      </c>
      <c r="AE73" s="24">
        <f t="shared" si="123"/>
        <v>0</v>
      </c>
      <c r="AF73" s="25">
        <f t="shared" si="124"/>
        <v>0</v>
      </c>
      <c r="AG73" s="28">
        <f t="shared" si="125"/>
        <v>45177</v>
      </c>
      <c r="AH73" s="24">
        <f t="shared" si="126"/>
        <v>0</v>
      </c>
      <c r="AI73" s="25">
        <f t="shared" si="127"/>
        <v>0</v>
      </c>
      <c r="AJ73" s="28">
        <f t="shared" si="128"/>
        <v>45177</v>
      </c>
      <c r="AK73" s="24">
        <f t="shared" si="129"/>
        <v>0</v>
      </c>
      <c r="AL73" s="25">
        <f t="shared" si="130"/>
        <v>0</v>
      </c>
      <c r="AM73" s="29">
        <f t="shared" si="131"/>
        <v>0</v>
      </c>
      <c r="AN73" s="28">
        <f t="shared" si="132"/>
        <v>45177</v>
      </c>
      <c r="AO73" s="373">
        <f t="shared" si="101"/>
        <v>0</v>
      </c>
      <c r="AP73" s="374">
        <f t="shared" si="102"/>
        <v>0</v>
      </c>
      <c r="AQ73" s="27">
        <f t="shared" si="103"/>
        <v>0</v>
      </c>
      <c r="AR73" s="25">
        <f t="shared" si="104"/>
        <v>0</v>
      </c>
      <c r="AS73" s="25">
        <f t="shared" si="105"/>
        <v>0</v>
      </c>
      <c r="AT73" s="25">
        <f t="shared" si="106"/>
        <v>0</v>
      </c>
      <c r="AU73" s="29">
        <f t="shared" si="163"/>
        <v>0</v>
      </c>
      <c r="AV73" s="27">
        <f t="shared" si="133"/>
        <v>0</v>
      </c>
      <c r="AW73" s="27">
        <f t="shared" si="134"/>
        <v>0</v>
      </c>
      <c r="AX73" s="27">
        <f t="shared" si="135"/>
        <v>0</v>
      </c>
      <c r="AY73" s="27">
        <f t="shared" si="136"/>
        <v>0</v>
      </c>
      <c r="BH73" s="2">
        <f t="shared" si="137"/>
        <v>0</v>
      </c>
      <c r="BI73" s="298" t="str">
        <f t="shared" si="138"/>
        <v/>
      </c>
      <c r="BJ73" s="298" t="str">
        <f t="shared" si="107"/>
        <v/>
      </c>
      <c r="BQ73" s="4">
        <f t="shared" si="139"/>
        <v>45177</v>
      </c>
      <c r="BR73" s="112">
        <f t="shared" si="140"/>
        <v>0</v>
      </c>
      <c r="BS73" s="112">
        <f t="shared" si="141"/>
        <v>0</v>
      </c>
      <c r="BT73" s="112">
        <f t="shared" si="142"/>
        <v>0</v>
      </c>
      <c r="BU73" s="112">
        <f t="shared" si="143"/>
        <v>0</v>
      </c>
      <c r="BV73" s="112">
        <f t="shared" si="144"/>
        <v>0</v>
      </c>
      <c r="CI73" s="4">
        <f t="shared" si="145"/>
        <v>45177</v>
      </c>
      <c r="CJ73" s="50">
        <f ca="1">IF($BH73=0,IF($CO73="",CJ72+R73,IF('283'!$K$251=1,VLOOKUP($CO73,PerStBal,2)+R73,IF('283'!$K$253=1,(VLOOKUP($CO73,PerPortion,2)*VLOOKUP($CO73,PerStBal,6))+R73,GL!BS73))),0)</f>
        <v>0</v>
      </c>
      <c r="CK73" s="425">
        <f ca="1">IF($BH73=0,IF($CO73="",CK72+T73,IF('283'!$K$251=1,IF(mname2&lt;&gt;"",VLOOKUP($CO73,PerStBal,3)+T73,0),IF('283'!$K$253=1,(VLOOKUP($CO73,PerPortion,3)*VLOOKUP($CO73,PerStBal,6))+T73,GL!BT73))),0)</f>
        <v>0</v>
      </c>
      <c r="CL73" s="425">
        <f ca="1">IF($BH73=0,IF($CO73="",CL72+V73,IF('283'!$K$251=1,IF(mname3&lt;&gt;"",VLOOKUP($CO73,PerStBal,4)+V73,0),IF('283'!$K$253=1,(VLOOKUP($CO73,PerPortion,4)*VLOOKUP($CO73,PerStBal,6))+V73,GL!BU73))),0)</f>
        <v>0</v>
      </c>
      <c r="CM73" s="425">
        <f ca="1">IF($BH73=0,IF($CO73="",CM72+X73,IF('283'!$K$251=1,IF(mname4&lt;&gt;"",VLOOKUP($CO73,PerStBal,5)+X73,0),IF('283'!$K$253=1,(VLOOKUP($CO73,PerPortion,5)*VLOOKUP($CO73,PerStBal,6))+X73,GL!BV73))),0)</f>
        <v>0</v>
      </c>
      <c r="CN73" s="50">
        <f t="shared" ca="1" si="146"/>
        <v>0</v>
      </c>
      <c r="CO73" s="4" t="str">
        <f t="shared" ca="1" si="147"/>
        <v/>
      </c>
      <c r="CP73" s="377">
        <f t="shared" si="108"/>
        <v>0</v>
      </c>
      <c r="DI73" s="4">
        <f t="shared" si="148"/>
        <v>45177</v>
      </c>
      <c r="DJ73" s="112">
        <f t="shared" ca="1" si="149"/>
        <v>0</v>
      </c>
      <c r="DK73" s="112">
        <f t="shared" si="150"/>
        <v>0</v>
      </c>
      <c r="DL73" s="4">
        <f t="shared" si="151"/>
        <v>45177</v>
      </c>
      <c r="DM73" s="112">
        <f t="shared" ca="1" si="152"/>
        <v>0</v>
      </c>
      <c r="DN73" s="112">
        <f t="shared" si="153"/>
        <v>0</v>
      </c>
      <c r="DO73" s="4">
        <f t="shared" si="154"/>
        <v>45177</v>
      </c>
      <c r="DP73" s="112">
        <f t="shared" ca="1" si="155"/>
        <v>0</v>
      </c>
      <c r="DQ73" s="112">
        <f t="shared" si="156"/>
        <v>0</v>
      </c>
      <c r="DR73" s="4">
        <f t="shared" si="157"/>
        <v>45177</v>
      </c>
      <c r="DS73" s="112">
        <f t="shared" ca="1" si="158"/>
        <v>0</v>
      </c>
      <c r="DT73" s="112">
        <f t="shared" si="159"/>
        <v>0</v>
      </c>
      <c r="DU73" s="4">
        <f t="shared" si="160"/>
        <v>45177</v>
      </c>
      <c r="DV73" s="112">
        <f t="shared" si="161"/>
        <v>0</v>
      </c>
      <c r="DW73" s="112">
        <f t="shared" si="162"/>
        <v>0</v>
      </c>
    </row>
    <row r="74" spans="2:127" x14ac:dyDescent="0.25">
      <c r="B74" s="39" t="str">
        <f>IF(LEFT('283'!B181,1)="R","Benefits Paid","")</f>
        <v/>
      </c>
      <c r="C74" s="3" t="str">
        <f>IF(B74&lt;&gt;"",IF('283'!C181&lt;&gt;"",'283'!C181,""),"")</f>
        <v/>
      </c>
      <c r="D74" s="40" t="str">
        <f>IF($B74&lt;&gt;"",IF('283'!D181&lt;&gt;"",'283'!D181,""),"")</f>
        <v/>
      </c>
      <c r="E74" s="40" t="str">
        <f>IF($B74&lt;&gt;"",IF('283'!E181&lt;&gt;"",'283'!E181,""),"")</f>
        <v/>
      </c>
      <c r="F74" s="40" t="str">
        <f>IF($B74&lt;&gt;"",IF('283'!F181&lt;&gt;"",'283'!F181,""),"")</f>
        <v/>
      </c>
      <c r="G74" s="41" t="str">
        <f>IF($B74&lt;&gt;"",IF('283'!G181&lt;&gt;"",'283'!G181,""),"")</f>
        <v/>
      </c>
      <c r="H74" s="23">
        <v>70</v>
      </c>
      <c r="I74" s="42" t="str">
        <f>IF(AND(LEFT('283'!B181,1)&lt;&gt;"R",LEFT('283'!B181,1)&lt;&gt;""),'283'!B181,"")</f>
        <v/>
      </c>
      <c r="J74" s="3" t="str">
        <f>IF(I74&lt;&gt;"",IF('283'!C181&lt;&gt;"",'283'!C181,""),"")</f>
        <v/>
      </c>
      <c r="K74" s="40" t="str">
        <f>IF($I74&lt;&gt;"",IF('283'!D181&lt;&gt;"",IF(LEFT($I74,1)="N",-'283'!D181,'283'!D181),""),"")</f>
        <v/>
      </c>
      <c r="L74" s="40" t="str">
        <f>IF($I74&lt;&gt;"",IF('283'!E181&lt;&gt;"",IF(LEFT($I74,1)="N",-'283'!E181,'283'!E181),""),"")</f>
        <v/>
      </c>
      <c r="M74" s="40" t="str">
        <f>IF($I74&lt;&gt;"",IF('283'!F181&lt;&gt;"",IF(LEFT($I74,1)="N",-'283'!F181,'283'!F181),""),"")</f>
        <v/>
      </c>
      <c r="N74" s="40" t="str">
        <f>IF($I74&lt;&gt;"",IF('283'!G181&lt;&gt;"",IF(LEFT($I74,1)="N",-'283'!G181,'283'!G181),""),"")</f>
        <v/>
      </c>
      <c r="O74" s="43"/>
      <c r="P74" s="38"/>
      <c r="Q74" s="4">
        <f t="shared" si="109"/>
        <v>45178</v>
      </c>
      <c r="R74" s="24">
        <f t="shared" si="110"/>
        <v>0</v>
      </c>
      <c r="S74" s="25">
        <f t="shared" si="111"/>
        <v>0</v>
      </c>
      <c r="T74" s="24">
        <f t="shared" si="112"/>
        <v>0</v>
      </c>
      <c r="U74" s="25">
        <f t="shared" si="113"/>
        <v>0</v>
      </c>
      <c r="V74" s="24">
        <f t="shared" si="114"/>
        <v>0</v>
      </c>
      <c r="W74" s="25">
        <f t="shared" si="115"/>
        <v>0</v>
      </c>
      <c r="X74" s="24">
        <f t="shared" si="116"/>
        <v>0</v>
      </c>
      <c r="Y74" s="26">
        <f t="shared" si="117"/>
        <v>0</v>
      </c>
      <c r="Z74" s="27">
        <f t="shared" si="118"/>
        <v>0</v>
      </c>
      <c r="AA74" s="28">
        <f t="shared" si="119"/>
        <v>45178</v>
      </c>
      <c r="AB74" s="24">
        <f t="shared" si="120"/>
        <v>0</v>
      </c>
      <c r="AC74" s="25">
        <f t="shared" si="121"/>
        <v>0</v>
      </c>
      <c r="AD74" s="28">
        <f t="shared" si="122"/>
        <v>45178</v>
      </c>
      <c r="AE74" s="24">
        <f t="shared" si="123"/>
        <v>0</v>
      </c>
      <c r="AF74" s="25">
        <f t="shared" si="124"/>
        <v>0</v>
      </c>
      <c r="AG74" s="28">
        <f t="shared" si="125"/>
        <v>45178</v>
      </c>
      <c r="AH74" s="24">
        <f t="shared" si="126"/>
        <v>0</v>
      </c>
      <c r="AI74" s="25">
        <f t="shared" si="127"/>
        <v>0</v>
      </c>
      <c r="AJ74" s="28">
        <f t="shared" si="128"/>
        <v>45178</v>
      </c>
      <c r="AK74" s="24">
        <f t="shared" si="129"/>
        <v>0</v>
      </c>
      <c r="AL74" s="25">
        <f t="shared" si="130"/>
        <v>0</v>
      </c>
      <c r="AM74" s="29">
        <f t="shared" si="131"/>
        <v>0</v>
      </c>
      <c r="AN74" s="28">
        <f t="shared" si="132"/>
        <v>45178</v>
      </c>
      <c r="AO74" s="373">
        <f t="shared" si="101"/>
        <v>0</v>
      </c>
      <c r="AP74" s="374">
        <f t="shared" si="102"/>
        <v>0</v>
      </c>
      <c r="AQ74" s="27">
        <f t="shared" si="103"/>
        <v>0</v>
      </c>
      <c r="AR74" s="25">
        <f t="shared" si="104"/>
        <v>0</v>
      </c>
      <c r="AS74" s="25">
        <f t="shared" si="105"/>
        <v>0</v>
      </c>
      <c r="AT74" s="25">
        <f t="shared" si="106"/>
        <v>0</v>
      </c>
      <c r="AU74" s="29">
        <f t="shared" si="163"/>
        <v>0</v>
      </c>
      <c r="AV74" s="27">
        <f t="shared" si="133"/>
        <v>0</v>
      </c>
      <c r="AW74" s="27">
        <f t="shared" si="134"/>
        <v>0</v>
      </c>
      <c r="AX74" s="27">
        <f t="shared" si="135"/>
        <v>0</v>
      </c>
      <c r="AY74" s="27">
        <f t="shared" si="136"/>
        <v>0</v>
      </c>
      <c r="BH74" s="2">
        <f t="shared" si="137"/>
        <v>0</v>
      </c>
      <c r="BI74" s="298" t="str">
        <f t="shared" si="138"/>
        <v/>
      </c>
      <c r="BJ74" s="298" t="str">
        <f t="shared" si="107"/>
        <v/>
      </c>
      <c r="BQ74" s="4">
        <f t="shared" si="139"/>
        <v>45178</v>
      </c>
      <c r="BR74" s="112">
        <f t="shared" si="140"/>
        <v>0</v>
      </c>
      <c r="BS74" s="112">
        <f t="shared" si="141"/>
        <v>0</v>
      </c>
      <c r="BT74" s="112">
        <f t="shared" si="142"/>
        <v>0</v>
      </c>
      <c r="BU74" s="112">
        <f t="shared" si="143"/>
        <v>0</v>
      </c>
      <c r="BV74" s="112">
        <f t="shared" si="144"/>
        <v>0</v>
      </c>
      <c r="CI74" s="4">
        <f t="shared" si="145"/>
        <v>45178</v>
      </c>
      <c r="CJ74" s="50">
        <f ca="1">IF($BH74=0,IF($CO74="",CJ73+R74,IF('283'!$K$251=1,VLOOKUP($CO74,PerStBal,2)+R74,IF('283'!$K$253=1,(VLOOKUP($CO74,PerPortion,2)*VLOOKUP($CO74,PerStBal,6))+R74,GL!BS74))),0)</f>
        <v>0</v>
      </c>
      <c r="CK74" s="425">
        <f ca="1">IF($BH74=0,IF($CO74="",CK73+T74,IF('283'!$K$251=1,IF(mname2&lt;&gt;"",VLOOKUP($CO74,PerStBal,3)+T74,0),IF('283'!$K$253=1,(VLOOKUP($CO74,PerPortion,3)*VLOOKUP($CO74,PerStBal,6))+T74,GL!BT74))),0)</f>
        <v>0</v>
      </c>
      <c r="CL74" s="425">
        <f ca="1">IF($BH74=0,IF($CO74="",CL73+V74,IF('283'!$K$251=1,IF(mname3&lt;&gt;"",VLOOKUP($CO74,PerStBal,4)+V74,0),IF('283'!$K$253=1,(VLOOKUP($CO74,PerPortion,4)*VLOOKUP($CO74,PerStBal,6))+V74,GL!BU74))),0)</f>
        <v>0</v>
      </c>
      <c r="CM74" s="425">
        <f ca="1">IF($BH74=0,IF($CO74="",CM73+X74,IF('283'!$K$251=1,IF(mname4&lt;&gt;"",VLOOKUP($CO74,PerStBal,5)+X74,0),IF('283'!$K$253=1,(VLOOKUP($CO74,PerPortion,5)*VLOOKUP($CO74,PerStBal,6))+X74,GL!BV74))),0)</f>
        <v>0</v>
      </c>
      <c r="CN74" s="50">
        <f t="shared" ca="1" si="146"/>
        <v>0</v>
      </c>
      <c r="CO74" s="4" t="str">
        <f t="shared" ca="1" si="147"/>
        <v/>
      </c>
      <c r="CP74" s="377">
        <f t="shared" si="108"/>
        <v>0</v>
      </c>
      <c r="DI74" s="4">
        <f t="shared" si="148"/>
        <v>45178</v>
      </c>
      <c r="DJ74" s="112">
        <f t="shared" ca="1" si="149"/>
        <v>0</v>
      </c>
      <c r="DK74" s="112">
        <f t="shared" si="150"/>
        <v>0</v>
      </c>
      <c r="DL74" s="4">
        <f t="shared" si="151"/>
        <v>45178</v>
      </c>
      <c r="DM74" s="112">
        <f t="shared" ca="1" si="152"/>
        <v>0</v>
      </c>
      <c r="DN74" s="112">
        <f t="shared" si="153"/>
        <v>0</v>
      </c>
      <c r="DO74" s="4">
        <f t="shared" si="154"/>
        <v>45178</v>
      </c>
      <c r="DP74" s="112">
        <f t="shared" ca="1" si="155"/>
        <v>0</v>
      </c>
      <c r="DQ74" s="112">
        <f t="shared" si="156"/>
        <v>0</v>
      </c>
      <c r="DR74" s="4">
        <f t="shared" si="157"/>
        <v>45178</v>
      </c>
      <c r="DS74" s="112">
        <f t="shared" ca="1" si="158"/>
        <v>0</v>
      </c>
      <c r="DT74" s="112">
        <f t="shared" si="159"/>
        <v>0</v>
      </c>
      <c r="DU74" s="4">
        <f t="shared" si="160"/>
        <v>45178</v>
      </c>
      <c r="DV74" s="112">
        <f t="shared" si="161"/>
        <v>0</v>
      </c>
      <c r="DW74" s="112">
        <f t="shared" si="162"/>
        <v>0</v>
      </c>
    </row>
    <row r="75" spans="2:127" x14ac:dyDescent="0.25">
      <c r="B75" s="39" t="str">
        <f>IF(LEFT('283'!B182,1)="R","Benefits Paid","")</f>
        <v/>
      </c>
      <c r="C75" s="3" t="str">
        <f>IF(B75&lt;&gt;"",IF('283'!C182&lt;&gt;"",'283'!C182,""),"")</f>
        <v/>
      </c>
      <c r="D75" s="40" t="str">
        <f>IF($B75&lt;&gt;"",IF('283'!D182&lt;&gt;"",'283'!D182,""),"")</f>
        <v/>
      </c>
      <c r="E75" s="40" t="str">
        <f>IF($B75&lt;&gt;"",IF('283'!E182&lt;&gt;"",'283'!E182,""),"")</f>
        <v/>
      </c>
      <c r="F75" s="40" t="str">
        <f>IF($B75&lt;&gt;"",IF('283'!F182&lt;&gt;"",'283'!F182,""),"")</f>
        <v/>
      </c>
      <c r="G75" s="41" t="str">
        <f>IF($B75&lt;&gt;"",IF('283'!G182&lt;&gt;"",'283'!G182,""),"")</f>
        <v/>
      </c>
      <c r="H75" s="23">
        <v>71</v>
      </c>
      <c r="I75" s="42" t="str">
        <f>IF(AND(LEFT('283'!B182,1)&lt;&gt;"R",LEFT('283'!B182,1)&lt;&gt;""),'283'!B182,"")</f>
        <v/>
      </c>
      <c r="J75" s="3" t="str">
        <f>IF(I75&lt;&gt;"",IF('283'!C182&lt;&gt;"",'283'!C182,""),"")</f>
        <v/>
      </c>
      <c r="K75" s="40" t="str">
        <f>IF($I75&lt;&gt;"",IF('283'!D182&lt;&gt;"",IF(LEFT($I75,1)="N",-'283'!D182,'283'!D182),""),"")</f>
        <v/>
      </c>
      <c r="L75" s="40" t="str">
        <f>IF($I75&lt;&gt;"",IF('283'!E182&lt;&gt;"",IF(LEFT($I75,1)="N",-'283'!E182,'283'!E182),""),"")</f>
        <v/>
      </c>
      <c r="M75" s="40" t="str">
        <f>IF($I75&lt;&gt;"",IF('283'!F182&lt;&gt;"",IF(LEFT($I75,1)="N",-'283'!F182,'283'!F182),""),"")</f>
        <v/>
      </c>
      <c r="N75" s="40" t="str">
        <f>IF($I75&lt;&gt;"",IF('283'!G182&lt;&gt;"",IF(LEFT($I75,1)="N",-'283'!G182,'283'!G182),""),"")</f>
        <v/>
      </c>
      <c r="O75" s="43"/>
      <c r="P75" s="38"/>
      <c r="Q75" s="4">
        <f t="shared" si="109"/>
        <v>45179</v>
      </c>
      <c r="R75" s="24">
        <f t="shared" si="110"/>
        <v>0</v>
      </c>
      <c r="S75" s="25">
        <f t="shared" si="111"/>
        <v>0</v>
      </c>
      <c r="T75" s="24">
        <f t="shared" si="112"/>
        <v>0</v>
      </c>
      <c r="U75" s="25">
        <f t="shared" si="113"/>
        <v>0</v>
      </c>
      <c r="V75" s="24">
        <f t="shared" si="114"/>
        <v>0</v>
      </c>
      <c r="W75" s="25">
        <f t="shared" si="115"/>
        <v>0</v>
      </c>
      <c r="X75" s="24">
        <f t="shared" si="116"/>
        <v>0</v>
      </c>
      <c r="Y75" s="26">
        <f t="shared" si="117"/>
        <v>0</v>
      </c>
      <c r="Z75" s="27">
        <f t="shared" si="118"/>
        <v>0</v>
      </c>
      <c r="AA75" s="28">
        <f t="shared" si="119"/>
        <v>45179</v>
      </c>
      <c r="AB75" s="24">
        <f t="shared" si="120"/>
        <v>0</v>
      </c>
      <c r="AC75" s="25">
        <f t="shared" si="121"/>
        <v>0</v>
      </c>
      <c r="AD75" s="28">
        <f t="shared" si="122"/>
        <v>45179</v>
      </c>
      <c r="AE75" s="24">
        <f t="shared" si="123"/>
        <v>0</v>
      </c>
      <c r="AF75" s="25">
        <f t="shared" si="124"/>
        <v>0</v>
      </c>
      <c r="AG75" s="28">
        <f t="shared" si="125"/>
        <v>45179</v>
      </c>
      <c r="AH75" s="24">
        <f t="shared" si="126"/>
        <v>0</v>
      </c>
      <c r="AI75" s="25">
        <f t="shared" si="127"/>
        <v>0</v>
      </c>
      <c r="AJ75" s="28">
        <f t="shared" si="128"/>
        <v>45179</v>
      </c>
      <c r="AK75" s="24">
        <f t="shared" si="129"/>
        <v>0</v>
      </c>
      <c r="AL75" s="25">
        <f t="shared" si="130"/>
        <v>0</v>
      </c>
      <c r="AM75" s="29">
        <f t="shared" si="131"/>
        <v>0</v>
      </c>
      <c r="AN75" s="28">
        <f t="shared" si="132"/>
        <v>45179</v>
      </c>
      <c r="AO75" s="373">
        <f t="shared" si="101"/>
        <v>0</v>
      </c>
      <c r="AP75" s="374">
        <f t="shared" si="102"/>
        <v>0</v>
      </c>
      <c r="AQ75" s="27">
        <f t="shared" si="103"/>
        <v>0</v>
      </c>
      <c r="AR75" s="25">
        <f t="shared" si="104"/>
        <v>0</v>
      </c>
      <c r="AS75" s="25">
        <f t="shared" si="105"/>
        <v>0</v>
      </c>
      <c r="AT75" s="25">
        <f t="shared" si="106"/>
        <v>0</v>
      </c>
      <c r="AU75" s="29">
        <f t="shared" si="163"/>
        <v>0</v>
      </c>
      <c r="AV75" s="27">
        <f t="shared" si="133"/>
        <v>0</v>
      </c>
      <c r="AW75" s="27">
        <f t="shared" si="134"/>
        <v>0</v>
      </c>
      <c r="AX75" s="27">
        <f t="shared" si="135"/>
        <v>0</v>
      </c>
      <c r="AY75" s="27">
        <f t="shared" si="136"/>
        <v>0</v>
      </c>
      <c r="BH75" s="2">
        <f t="shared" si="137"/>
        <v>0</v>
      </c>
      <c r="BI75" s="298" t="str">
        <f t="shared" si="138"/>
        <v/>
      </c>
      <c r="BJ75" s="298" t="str">
        <f t="shared" si="107"/>
        <v/>
      </c>
      <c r="BQ75" s="4">
        <f t="shared" si="139"/>
        <v>45179</v>
      </c>
      <c r="BR75" s="112">
        <f t="shared" si="140"/>
        <v>0</v>
      </c>
      <c r="BS75" s="112">
        <f t="shared" si="141"/>
        <v>0</v>
      </c>
      <c r="BT75" s="112">
        <f t="shared" si="142"/>
        <v>0</v>
      </c>
      <c r="BU75" s="112">
        <f t="shared" si="143"/>
        <v>0</v>
      </c>
      <c r="BV75" s="112">
        <f t="shared" si="144"/>
        <v>0</v>
      </c>
      <c r="CI75" s="4">
        <f t="shared" si="145"/>
        <v>45179</v>
      </c>
      <c r="CJ75" s="50">
        <f ca="1">IF($BH75=0,IF($CO75="",CJ74+R75,IF('283'!$K$251=1,VLOOKUP($CO75,PerStBal,2)+R75,IF('283'!$K$253=1,(VLOOKUP($CO75,PerPortion,2)*VLOOKUP($CO75,PerStBal,6))+R75,GL!BS75))),0)</f>
        <v>0</v>
      </c>
      <c r="CK75" s="425">
        <f ca="1">IF($BH75=0,IF($CO75="",CK74+T75,IF('283'!$K$251=1,IF(mname2&lt;&gt;"",VLOOKUP($CO75,PerStBal,3)+T75,0),IF('283'!$K$253=1,(VLOOKUP($CO75,PerPortion,3)*VLOOKUP($CO75,PerStBal,6))+T75,GL!BT75))),0)</f>
        <v>0</v>
      </c>
      <c r="CL75" s="425">
        <f ca="1">IF($BH75=0,IF($CO75="",CL74+V75,IF('283'!$K$251=1,IF(mname3&lt;&gt;"",VLOOKUP($CO75,PerStBal,4)+V75,0),IF('283'!$K$253=1,(VLOOKUP($CO75,PerPortion,4)*VLOOKUP($CO75,PerStBal,6))+V75,GL!BU75))),0)</f>
        <v>0</v>
      </c>
      <c r="CM75" s="425">
        <f ca="1">IF($BH75=0,IF($CO75="",CM74+X75,IF('283'!$K$251=1,IF(mname4&lt;&gt;"",VLOOKUP($CO75,PerStBal,5)+X75,0),IF('283'!$K$253=1,(VLOOKUP($CO75,PerPortion,5)*VLOOKUP($CO75,PerStBal,6))+X75,GL!BV75))),0)</f>
        <v>0</v>
      </c>
      <c r="CN75" s="50">
        <f t="shared" ca="1" si="146"/>
        <v>0</v>
      </c>
      <c r="CO75" s="4" t="str">
        <f t="shared" ca="1" si="147"/>
        <v/>
      </c>
      <c r="CP75" s="377">
        <f t="shared" si="108"/>
        <v>0</v>
      </c>
      <c r="DI75" s="4">
        <f t="shared" si="148"/>
        <v>45179</v>
      </c>
      <c r="DJ75" s="112">
        <f t="shared" ca="1" si="149"/>
        <v>0</v>
      </c>
      <c r="DK75" s="112">
        <f t="shared" si="150"/>
        <v>0</v>
      </c>
      <c r="DL75" s="4">
        <f t="shared" si="151"/>
        <v>45179</v>
      </c>
      <c r="DM75" s="112">
        <f t="shared" ca="1" si="152"/>
        <v>0</v>
      </c>
      <c r="DN75" s="112">
        <f t="shared" si="153"/>
        <v>0</v>
      </c>
      <c r="DO75" s="4">
        <f t="shared" si="154"/>
        <v>45179</v>
      </c>
      <c r="DP75" s="112">
        <f t="shared" ca="1" si="155"/>
        <v>0</v>
      </c>
      <c r="DQ75" s="112">
        <f t="shared" si="156"/>
        <v>0</v>
      </c>
      <c r="DR75" s="4">
        <f t="shared" si="157"/>
        <v>45179</v>
      </c>
      <c r="DS75" s="112">
        <f t="shared" ca="1" si="158"/>
        <v>0</v>
      </c>
      <c r="DT75" s="112">
        <f t="shared" si="159"/>
        <v>0</v>
      </c>
      <c r="DU75" s="4">
        <f t="shared" si="160"/>
        <v>45179</v>
      </c>
      <c r="DV75" s="112">
        <f t="shared" si="161"/>
        <v>0</v>
      </c>
      <c r="DW75" s="112">
        <f t="shared" si="162"/>
        <v>0</v>
      </c>
    </row>
    <row r="76" spans="2:127" x14ac:dyDescent="0.25">
      <c r="B76" s="39" t="str">
        <f>IF(LEFT('283'!B183,1)="R","Benefits Paid","")</f>
        <v/>
      </c>
      <c r="C76" s="3" t="str">
        <f>IF(B76&lt;&gt;"",IF('283'!C183&lt;&gt;"",'283'!C183,""),"")</f>
        <v/>
      </c>
      <c r="D76" s="40" t="str">
        <f>IF($B76&lt;&gt;"",IF('283'!D183&lt;&gt;"",'283'!D183,""),"")</f>
        <v/>
      </c>
      <c r="E76" s="40" t="str">
        <f>IF($B76&lt;&gt;"",IF('283'!E183&lt;&gt;"",'283'!E183,""),"")</f>
        <v/>
      </c>
      <c r="F76" s="40" t="str">
        <f>IF($B76&lt;&gt;"",IF('283'!F183&lt;&gt;"",'283'!F183,""),"")</f>
        <v/>
      </c>
      <c r="G76" s="41" t="str">
        <f>IF($B76&lt;&gt;"",IF('283'!G183&lt;&gt;"",'283'!G183,""),"")</f>
        <v/>
      </c>
      <c r="H76" s="23">
        <v>72</v>
      </c>
      <c r="I76" s="42" t="str">
        <f>IF(AND(LEFT('283'!B183,1)&lt;&gt;"R",LEFT('283'!B183,1)&lt;&gt;""),'283'!B183,"")</f>
        <v/>
      </c>
      <c r="J76" s="3" t="str">
        <f>IF(I76&lt;&gt;"",IF('283'!C183&lt;&gt;"",'283'!C183,""),"")</f>
        <v/>
      </c>
      <c r="K76" s="40" t="str">
        <f>IF($I76&lt;&gt;"",IF('283'!D183&lt;&gt;"",IF(LEFT($I76,1)="N",-'283'!D183,'283'!D183),""),"")</f>
        <v/>
      </c>
      <c r="L76" s="40" t="str">
        <f>IF($I76&lt;&gt;"",IF('283'!E183&lt;&gt;"",IF(LEFT($I76,1)="N",-'283'!E183,'283'!E183),""),"")</f>
        <v/>
      </c>
      <c r="M76" s="40" t="str">
        <f>IF($I76&lt;&gt;"",IF('283'!F183&lt;&gt;"",IF(LEFT($I76,1)="N",-'283'!F183,'283'!F183),""),"")</f>
        <v/>
      </c>
      <c r="N76" s="40" t="str">
        <f>IF($I76&lt;&gt;"",IF('283'!G183&lt;&gt;"",IF(LEFT($I76,1)="N",-'283'!G183,'283'!G183),""),"")</f>
        <v/>
      </c>
      <c r="O76" s="43"/>
      <c r="P76" s="38"/>
      <c r="Q76" s="4">
        <f t="shared" si="109"/>
        <v>45180</v>
      </c>
      <c r="R76" s="24">
        <f t="shared" si="110"/>
        <v>0</v>
      </c>
      <c r="S76" s="25">
        <f t="shared" si="111"/>
        <v>0</v>
      </c>
      <c r="T76" s="24">
        <f t="shared" si="112"/>
        <v>0</v>
      </c>
      <c r="U76" s="25">
        <f t="shared" si="113"/>
        <v>0</v>
      </c>
      <c r="V76" s="24">
        <f t="shared" si="114"/>
        <v>0</v>
      </c>
      <c r="W76" s="25">
        <f t="shared" si="115"/>
        <v>0</v>
      </c>
      <c r="X76" s="24">
        <f t="shared" si="116"/>
        <v>0</v>
      </c>
      <c r="Y76" s="26">
        <f t="shared" si="117"/>
        <v>0</v>
      </c>
      <c r="Z76" s="27">
        <f t="shared" si="118"/>
        <v>0</v>
      </c>
      <c r="AA76" s="28">
        <f t="shared" si="119"/>
        <v>45180</v>
      </c>
      <c r="AB76" s="24">
        <f t="shared" si="120"/>
        <v>0</v>
      </c>
      <c r="AC76" s="25">
        <f t="shared" si="121"/>
        <v>0</v>
      </c>
      <c r="AD76" s="28">
        <f t="shared" si="122"/>
        <v>45180</v>
      </c>
      <c r="AE76" s="24">
        <f t="shared" si="123"/>
        <v>0</v>
      </c>
      <c r="AF76" s="25">
        <f t="shared" si="124"/>
        <v>0</v>
      </c>
      <c r="AG76" s="28">
        <f t="shared" si="125"/>
        <v>45180</v>
      </c>
      <c r="AH76" s="24">
        <f t="shared" si="126"/>
        <v>0</v>
      </c>
      <c r="AI76" s="25">
        <f t="shared" si="127"/>
        <v>0</v>
      </c>
      <c r="AJ76" s="28">
        <f t="shared" si="128"/>
        <v>45180</v>
      </c>
      <c r="AK76" s="24">
        <f t="shared" si="129"/>
        <v>0</v>
      </c>
      <c r="AL76" s="25">
        <f t="shared" si="130"/>
        <v>0</v>
      </c>
      <c r="AM76" s="29">
        <f t="shared" si="131"/>
        <v>0</v>
      </c>
      <c r="AN76" s="28">
        <f t="shared" si="132"/>
        <v>45180</v>
      </c>
      <c r="AO76" s="373">
        <f t="shared" si="101"/>
        <v>0</v>
      </c>
      <c r="AP76" s="374">
        <f t="shared" si="102"/>
        <v>0</v>
      </c>
      <c r="AQ76" s="27">
        <f t="shared" si="103"/>
        <v>0</v>
      </c>
      <c r="AR76" s="25">
        <f t="shared" si="104"/>
        <v>0</v>
      </c>
      <c r="AS76" s="25">
        <f t="shared" si="105"/>
        <v>0</v>
      </c>
      <c r="AT76" s="25">
        <f t="shared" si="106"/>
        <v>0</v>
      </c>
      <c r="AU76" s="29">
        <f t="shared" si="163"/>
        <v>0</v>
      </c>
      <c r="AV76" s="27">
        <f t="shared" si="133"/>
        <v>0</v>
      </c>
      <c r="AW76" s="27">
        <f t="shared" si="134"/>
        <v>0</v>
      </c>
      <c r="AX76" s="27">
        <f t="shared" si="135"/>
        <v>0</v>
      </c>
      <c r="AY76" s="27">
        <f t="shared" si="136"/>
        <v>0</v>
      </c>
      <c r="BH76" s="2">
        <f t="shared" si="137"/>
        <v>0</v>
      </c>
      <c r="BI76" s="298" t="str">
        <f t="shared" si="138"/>
        <v/>
      </c>
      <c r="BJ76" s="298" t="str">
        <f t="shared" si="107"/>
        <v/>
      </c>
      <c r="BQ76" s="4">
        <f t="shared" si="139"/>
        <v>45180</v>
      </c>
      <c r="BR76" s="112">
        <f t="shared" si="140"/>
        <v>0</v>
      </c>
      <c r="BS76" s="112">
        <f t="shared" si="141"/>
        <v>0</v>
      </c>
      <c r="BT76" s="112">
        <f t="shared" si="142"/>
        <v>0</v>
      </c>
      <c r="BU76" s="112">
        <f t="shared" si="143"/>
        <v>0</v>
      </c>
      <c r="BV76" s="112">
        <f t="shared" si="144"/>
        <v>0</v>
      </c>
      <c r="CI76" s="4">
        <f t="shared" si="145"/>
        <v>45180</v>
      </c>
      <c r="CJ76" s="50">
        <f ca="1">IF($BH76=0,IF($CO76="",CJ75+R76,IF('283'!$K$251=1,VLOOKUP($CO76,PerStBal,2)+R76,IF('283'!$K$253=1,(VLOOKUP($CO76,PerPortion,2)*VLOOKUP($CO76,PerStBal,6))+R76,GL!BS76))),0)</f>
        <v>0</v>
      </c>
      <c r="CK76" s="425">
        <f ca="1">IF($BH76=0,IF($CO76="",CK75+T76,IF('283'!$K$251=1,IF(mname2&lt;&gt;"",VLOOKUP($CO76,PerStBal,3)+T76,0),IF('283'!$K$253=1,(VLOOKUP($CO76,PerPortion,3)*VLOOKUP($CO76,PerStBal,6))+T76,GL!BT76))),0)</f>
        <v>0</v>
      </c>
      <c r="CL76" s="425">
        <f ca="1">IF($BH76=0,IF($CO76="",CL75+V76,IF('283'!$K$251=1,IF(mname3&lt;&gt;"",VLOOKUP($CO76,PerStBal,4)+V76,0),IF('283'!$K$253=1,(VLOOKUP($CO76,PerPortion,4)*VLOOKUP($CO76,PerStBal,6))+V76,GL!BU76))),0)</f>
        <v>0</v>
      </c>
      <c r="CM76" s="425">
        <f ca="1">IF($BH76=0,IF($CO76="",CM75+X76,IF('283'!$K$251=1,IF(mname4&lt;&gt;"",VLOOKUP($CO76,PerStBal,5)+X76,0),IF('283'!$K$253=1,(VLOOKUP($CO76,PerPortion,5)*VLOOKUP($CO76,PerStBal,6))+X76,GL!BV76))),0)</f>
        <v>0</v>
      </c>
      <c r="CN76" s="50">
        <f t="shared" ca="1" si="146"/>
        <v>0</v>
      </c>
      <c r="CO76" s="4" t="str">
        <f t="shared" ca="1" si="147"/>
        <v/>
      </c>
      <c r="CP76" s="377">
        <f t="shared" si="108"/>
        <v>0</v>
      </c>
      <c r="DI76" s="4">
        <f t="shared" si="148"/>
        <v>45180</v>
      </c>
      <c r="DJ76" s="112">
        <f t="shared" ca="1" si="149"/>
        <v>0</v>
      </c>
      <c r="DK76" s="112">
        <f t="shared" si="150"/>
        <v>0</v>
      </c>
      <c r="DL76" s="4">
        <f t="shared" si="151"/>
        <v>45180</v>
      </c>
      <c r="DM76" s="112">
        <f t="shared" ca="1" si="152"/>
        <v>0</v>
      </c>
      <c r="DN76" s="112">
        <f t="shared" si="153"/>
        <v>0</v>
      </c>
      <c r="DO76" s="4">
        <f t="shared" si="154"/>
        <v>45180</v>
      </c>
      <c r="DP76" s="112">
        <f t="shared" ca="1" si="155"/>
        <v>0</v>
      </c>
      <c r="DQ76" s="112">
        <f t="shared" si="156"/>
        <v>0</v>
      </c>
      <c r="DR76" s="4">
        <f t="shared" si="157"/>
        <v>45180</v>
      </c>
      <c r="DS76" s="112">
        <f t="shared" ca="1" si="158"/>
        <v>0</v>
      </c>
      <c r="DT76" s="112">
        <f t="shared" si="159"/>
        <v>0</v>
      </c>
      <c r="DU76" s="4">
        <f t="shared" si="160"/>
        <v>45180</v>
      </c>
      <c r="DV76" s="112">
        <f t="shared" si="161"/>
        <v>0</v>
      </c>
      <c r="DW76" s="112">
        <f t="shared" si="162"/>
        <v>0</v>
      </c>
    </row>
    <row r="77" spans="2:127" x14ac:dyDescent="0.25">
      <c r="B77" s="39" t="str">
        <f>IF(LEFT('283'!B184,1)="R","Benefits Paid","")</f>
        <v/>
      </c>
      <c r="C77" s="3" t="str">
        <f>IF(B77&lt;&gt;"",IF('283'!C184&lt;&gt;"",'283'!C184,""),"")</f>
        <v/>
      </c>
      <c r="D77" s="40" t="str">
        <f>IF($B77&lt;&gt;"",IF('283'!D184&lt;&gt;"",'283'!D184,""),"")</f>
        <v/>
      </c>
      <c r="E77" s="40" t="str">
        <f>IF($B77&lt;&gt;"",IF('283'!E184&lt;&gt;"",'283'!E184,""),"")</f>
        <v/>
      </c>
      <c r="F77" s="40" t="str">
        <f>IF($B77&lt;&gt;"",IF('283'!F184&lt;&gt;"",'283'!F184,""),"")</f>
        <v/>
      </c>
      <c r="G77" s="41" t="str">
        <f>IF($B77&lt;&gt;"",IF('283'!G184&lt;&gt;"",'283'!G184,""),"")</f>
        <v/>
      </c>
      <c r="H77" s="23">
        <v>73</v>
      </c>
      <c r="I77" s="42" t="str">
        <f>IF(AND(LEFT('283'!B184,1)&lt;&gt;"R",LEFT('283'!B184,1)&lt;&gt;""),'283'!B184,"")</f>
        <v/>
      </c>
      <c r="J77" s="3" t="str">
        <f>IF(I77&lt;&gt;"",IF('283'!C184&lt;&gt;"",'283'!C184,""),"")</f>
        <v/>
      </c>
      <c r="K77" s="40" t="str">
        <f>IF($I77&lt;&gt;"",IF('283'!D184&lt;&gt;"",IF(LEFT($I77,1)="N",-'283'!D184,'283'!D184),""),"")</f>
        <v/>
      </c>
      <c r="L77" s="40" t="str">
        <f>IF($I77&lt;&gt;"",IF('283'!E184&lt;&gt;"",IF(LEFT($I77,1)="N",-'283'!E184,'283'!E184),""),"")</f>
        <v/>
      </c>
      <c r="M77" s="40" t="str">
        <f>IF($I77&lt;&gt;"",IF('283'!F184&lt;&gt;"",IF(LEFT($I77,1)="N",-'283'!F184,'283'!F184),""),"")</f>
        <v/>
      </c>
      <c r="N77" s="40" t="str">
        <f>IF($I77&lt;&gt;"",IF('283'!G184&lt;&gt;"",IF(LEFT($I77,1)="N",-'283'!G184,'283'!G184),""),"")</f>
        <v/>
      </c>
      <c r="O77" s="43"/>
      <c r="P77" s="38"/>
      <c r="Q77" s="4">
        <f t="shared" si="109"/>
        <v>45181</v>
      </c>
      <c r="R77" s="24">
        <f t="shared" si="110"/>
        <v>0</v>
      </c>
      <c r="S77" s="25">
        <f t="shared" si="111"/>
        <v>0</v>
      </c>
      <c r="T77" s="24">
        <f t="shared" si="112"/>
        <v>0</v>
      </c>
      <c r="U77" s="25">
        <f t="shared" si="113"/>
        <v>0</v>
      </c>
      <c r="V77" s="24">
        <f t="shared" si="114"/>
        <v>0</v>
      </c>
      <c r="W77" s="25">
        <f t="shared" si="115"/>
        <v>0</v>
      </c>
      <c r="X77" s="24">
        <f t="shared" si="116"/>
        <v>0</v>
      </c>
      <c r="Y77" s="26">
        <f t="shared" si="117"/>
        <v>0</v>
      </c>
      <c r="Z77" s="27">
        <f t="shared" si="118"/>
        <v>0</v>
      </c>
      <c r="AA77" s="28">
        <f t="shared" si="119"/>
        <v>45181</v>
      </c>
      <c r="AB77" s="24">
        <f t="shared" si="120"/>
        <v>0</v>
      </c>
      <c r="AC77" s="25">
        <f t="shared" si="121"/>
        <v>0</v>
      </c>
      <c r="AD77" s="28">
        <f t="shared" si="122"/>
        <v>45181</v>
      </c>
      <c r="AE77" s="24">
        <f t="shared" si="123"/>
        <v>0</v>
      </c>
      <c r="AF77" s="25">
        <f t="shared" si="124"/>
        <v>0</v>
      </c>
      <c r="AG77" s="28">
        <f t="shared" si="125"/>
        <v>45181</v>
      </c>
      <c r="AH77" s="24">
        <f t="shared" si="126"/>
        <v>0</v>
      </c>
      <c r="AI77" s="25">
        <f t="shared" si="127"/>
        <v>0</v>
      </c>
      <c r="AJ77" s="28">
        <f t="shared" si="128"/>
        <v>45181</v>
      </c>
      <c r="AK77" s="24">
        <f t="shared" si="129"/>
        <v>0</v>
      </c>
      <c r="AL77" s="25">
        <f t="shared" si="130"/>
        <v>0</v>
      </c>
      <c r="AM77" s="29">
        <f t="shared" si="131"/>
        <v>0</v>
      </c>
      <c r="AN77" s="28">
        <f t="shared" si="132"/>
        <v>45181</v>
      </c>
      <c r="AO77" s="373">
        <f t="shared" si="101"/>
        <v>0</v>
      </c>
      <c r="AP77" s="374">
        <f t="shared" si="102"/>
        <v>0</v>
      </c>
      <c r="AQ77" s="27">
        <f t="shared" si="103"/>
        <v>0</v>
      </c>
      <c r="AR77" s="25">
        <f t="shared" si="104"/>
        <v>0</v>
      </c>
      <c r="AS77" s="25">
        <f t="shared" si="105"/>
        <v>0</v>
      </c>
      <c r="AT77" s="25">
        <f t="shared" si="106"/>
        <v>0</v>
      </c>
      <c r="AU77" s="29">
        <f t="shared" si="163"/>
        <v>0</v>
      </c>
      <c r="AV77" s="27">
        <f t="shared" si="133"/>
        <v>0</v>
      </c>
      <c r="AW77" s="27">
        <f t="shared" si="134"/>
        <v>0</v>
      </c>
      <c r="AX77" s="27">
        <f t="shared" si="135"/>
        <v>0</v>
      </c>
      <c r="AY77" s="27">
        <f t="shared" si="136"/>
        <v>0</v>
      </c>
      <c r="BH77" s="2">
        <f t="shared" si="137"/>
        <v>0</v>
      </c>
      <c r="BI77" s="298" t="str">
        <f t="shared" si="138"/>
        <v/>
      </c>
      <c r="BJ77" s="298" t="str">
        <f t="shared" si="107"/>
        <v/>
      </c>
      <c r="BQ77" s="4">
        <f t="shared" si="139"/>
        <v>45181</v>
      </c>
      <c r="BR77" s="112">
        <f t="shared" si="140"/>
        <v>0</v>
      </c>
      <c r="BS77" s="112">
        <f t="shared" si="141"/>
        <v>0</v>
      </c>
      <c r="BT77" s="112">
        <f t="shared" si="142"/>
        <v>0</v>
      </c>
      <c r="BU77" s="112">
        <f t="shared" si="143"/>
        <v>0</v>
      </c>
      <c r="BV77" s="112">
        <f t="shared" si="144"/>
        <v>0</v>
      </c>
      <c r="CI77" s="4">
        <f t="shared" si="145"/>
        <v>45181</v>
      </c>
      <c r="CJ77" s="50">
        <f ca="1">IF($BH77=0,IF($CO77="",CJ76+R77,IF('283'!$K$251=1,VLOOKUP($CO77,PerStBal,2)+R77,IF('283'!$K$253=1,(VLOOKUP($CO77,PerPortion,2)*VLOOKUP($CO77,PerStBal,6))+R77,GL!BS77))),0)</f>
        <v>0</v>
      </c>
      <c r="CK77" s="425">
        <f ca="1">IF($BH77=0,IF($CO77="",CK76+T77,IF('283'!$K$251=1,IF(mname2&lt;&gt;"",VLOOKUP($CO77,PerStBal,3)+T77,0),IF('283'!$K$253=1,(VLOOKUP($CO77,PerPortion,3)*VLOOKUP($CO77,PerStBal,6))+T77,GL!BT77))),0)</f>
        <v>0</v>
      </c>
      <c r="CL77" s="425">
        <f ca="1">IF($BH77=0,IF($CO77="",CL76+V77,IF('283'!$K$251=1,IF(mname3&lt;&gt;"",VLOOKUP($CO77,PerStBal,4)+V77,0),IF('283'!$K$253=1,(VLOOKUP($CO77,PerPortion,4)*VLOOKUP($CO77,PerStBal,6))+V77,GL!BU77))),0)</f>
        <v>0</v>
      </c>
      <c r="CM77" s="425">
        <f ca="1">IF($BH77=0,IF($CO77="",CM76+X77,IF('283'!$K$251=1,IF(mname4&lt;&gt;"",VLOOKUP($CO77,PerStBal,5)+X77,0),IF('283'!$K$253=1,(VLOOKUP($CO77,PerPortion,5)*VLOOKUP($CO77,PerStBal,6))+X77,GL!BV77))),0)</f>
        <v>0</v>
      </c>
      <c r="CN77" s="50">
        <f t="shared" ca="1" si="146"/>
        <v>0</v>
      </c>
      <c r="CO77" s="4" t="str">
        <f t="shared" ca="1" si="147"/>
        <v/>
      </c>
      <c r="CP77" s="377">
        <f t="shared" si="108"/>
        <v>0</v>
      </c>
      <c r="DI77" s="4">
        <f t="shared" si="148"/>
        <v>45181</v>
      </c>
      <c r="DJ77" s="112">
        <f t="shared" ca="1" si="149"/>
        <v>0</v>
      </c>
      <c r="DK77" s="112">
        <f t="shared" si="150"/>
        <v>0</v>
      </c>
      <c r="DL77" s="4">
        <f t="shared" si="151"/>
        <v>45181</v>
      </c>
      <c r="DM77" s="112">
        <f t="shared" ca="1" si="152"/>
        <v>0</v>
      </c>
      <c r="DN77" s="112">
        <f t="shared" si="153"/>
        <v>0</v>
      </c>
      <c r="DO77" s="4">
        <f t="shared" si="154"/>
        <v>45181</v>
      </c>
      <c r="DP77" s="112">
        <f t="shared" ca="1" si="155"/>
        <v>0</v>
      </c>
      <c r="DQ77" s="112">
        <f t="shared" si="156"/>
        <v>0</v>
      </c>
      <c r="DR77" s="4">
        <f t="shared" si="157"/>
        <v>45181</v>
      </c>
      <c r="DS77" s="112">
        <f t="shared" ca="1" si="158"/>
        <v>0</v>
      </c>
      <c r="DT77" s="112">
        <f t="shared" si="159"/>
        <v>0</v>
      </c>
      <c r="DU77" s="4">
        <f t="shared" si="160"/>
        <v>45181</v>
      </c>
      <c r="DV77" s="112">
        <f t="shared" si="161"/>
        <v>0</v>
      </c>
      <c r="DW77" s="112">
        <f t="shared" si="162"/>
        <v>0</v>
      </c>
    </row>
    <row r="78" spans="2:127" x14ac:dyDescent="0.25">
      <c r="B78" s="39" t="str">
        <f>IF(LEFT('283'!B185,1)="R","Benefits Paid","")</f>
        <v/>
      </c>
      <c r="C78" s="3" t="str">
        <f>IF(B78&lt;&gt;"",IF('283'!C185&lt;&gt;"",'283'!C185,""),"")</f>
        <v/>
      </c>
      <c r="D78" s="40" t="str">
        <f>IF($B78&lt;&gt;"",IF('283'!D185&lt;&gt;"",'283'!D185,""),"")</f>
        <v/>
      </c>
      <c r="E78" s="40" t="str">
        <f>IF($B78&lt;&gt;"",IF('283'!E185&lt;&gt;"",'283'!E185,""),"")</f>
        <v/>
      </c>
      <c r="F78" s="40" t="str">
        <f>IF($B78&lt;&gt;"",IF('283'!F185&lt;&gt;"",'283'!F185,""),"")</f>
        <v/>
      </c>
      <c r="G78" s="41" t="str">
        <f>IF($B78&lt;&gt;"",IF('283'!G185&lt;&gt;"",'283'!G185,""),"")</f>
        <v/>
      </c>
      <c r="H78" s="23">
        <v>74</v>
      </c>
      <c r="I78" s="42" t="str">
        <f>IF(AND(LEFT('283'!B185,1)&lt;&gt;"R",LEFT('283'!B185,1)&lt;&gt;""),'283'!B185,"")</f>
        <v/>
      </c>
      <c r="J78" s="3" t="str">
        <f>IF(I78&lt;&gt;"",IF('283'!C185&lt;&gt;"",'283'!C185,""),"")</f>
        <v/>
      </c>
      <c r="K78" s="40" t="str">
        <f>IF($I78&lt;&gt;"",IF('283'!D185&lt;&gt;"",IF(LEFT($I78,1)="N",-'283'!D185,'283'!D185),""),"")</f>
        <v/>
      </c>
      <c r="L78" s="40" t="str">
        <f>IF($I78&lt;&gt;"",IF('283'!E185&lt;&gt;"",IF(LEFT($I78,1)="N",-'283'!E185,'283'!E185),""),"")</f>
        <v/>
      </c>
      <c r="M78" s="40" t="str">
        <f>IF($I78&lt;&gt;"",IF('283'!F185&lt;&gt;"",IF(LEFT($I78,1)="N",-'283'!F185,'283'!F185),""),"")</f>
        <v/>
      </c>
      <c r="N78" s="40" t="str">
        <f>IF($I78&lt;&gt;"",IF('283'!G185&lt;&gt;"",IF(LEFT($I78,1)="N",-'283'!G185,'283'!G185),""),"")</f>
        <v/>
      </c>
      <c r="O78" s="43"/>
      <c r="P78" s="38"/>
      <c r="Q78" s="4">
        <f t="shared" si="109"/>
        <v>45182</v>
      </c>
      <c r="R78" s="24">
        <f t="shared" si="110"/>
        <v>0</v>
      </c>
      <c r="S78" s="25">
        <f t="shared" si="111"/>
        <v>0</v>
      </c>
      <c r="T78" s="24">
        <f t="shared" si="112"/>
        <v>0</v>
      </c>
      <c r="U78" s="25">
        <f t="shared" si="113"/>
        <v>0</v>
      </c>
      <c r="V78" s="24">
        <f t="shared" si="114"/>
        <v>0</v>
      </c>
      <c r="W78" s="25">
        <f t="shared" si="115"/>
        <v>0</v>
      </c>
      <c r="X78" s="24">
        <f t="shared" si="116"/>
        <v>0</v>
      </c>
      <c r="Y78" s="26">
        <f t="shared" si="117"/>
        <v>0</v>
      </c>
      <c r="Z78" s="27">
        <f t="shared" si="118"/>
        <v>0</v>
      </c>
      <c r="AA78" s="28">
        <f t="shared" si="119"/>
        <v>45182</v>
      </c>
      <c r="AB78" s="24">
        <f t="shared" si="120"/>
        <v>0</v>
      </c>
      <c r="AC78" s="25">
        <f t="shared" si="121"/>
        <v>0</v>
      </c>
      <c r="AD78" s="28">
        <f t="shared" si="122"/>
        <v>45182</v>
      </c>
      <c r="AE78" s="24">
        <f t="shared" si="123"/>
        <v>0</v>
      </c>
      <c r="AF78" s="25">
        <f t="shared" si="124"/>
        <v>0</v>
      </c>
      <c r="AG78" s="28">
        <f t="shared" si="125"/>
        <v>45182</v>
      </c>
      <c r="AH78" s="24">
        <f t="shared" si="126"/>
        <v>0</v>
      </c>
      <c r="AI78" s="25">
        <f t="shared" si="127"/>
        <v>0</v>
      </c>
      <c r="AJ78" s="28">
        <f t="shared" si="128"/>
        <v>45182</v>
      </c>
      <c r="AK78" s="24">
        <f t="shared" si="129"/>
        <v>0</v>
      </c>
      <c r="AL78" s="25">
        <f t="shared" si="130"/>
        <v>0</v>
      </c>
      <c r="AM78" s="29">
        <f t="shared" si="131"/>
        <v>0</v>
      </c>
      <c r="AN78" s="28">
        <f t="shared" si="132"/>
        <v>45182</v>
      </c>
      <c r="AO78" s="373">
        <f t="shared" si="101"/>
        <v>0</v>
      </c>
      <c r="AP78" s="374">
        <f t="shared" si="102"/>
        <v>0</v>
      </c>
      <c r="AQ78" s="27">
        <f t="shared" si="103"/>
        <v>0</v>
      </c>
      <c r="AR78" s="25">
        <f t="shared" si="104"/>
        <v>0</v>
      </c>
      <c r="AS78" s="25">
        <f t="shared" si="105"/>
        <v>0</v>
      </c>
      <c r="AT78" s="25">
        <f t="shared" si="106"/>
        <v>0</v>
      </c>
      <c r="AU78" s="29">
        <f t="shared" si="163"/>
        <v>0</v>
      </c>
      <c r="AV78" s="27">
        <f t="shared" si="133"/>
        <v>0</v>
      </c>
      <c r="AW78" s="27">
        <f t="shared" si="134"/>
        <v>0</v>
      </c>
      <c r="AX78" s="27">
        <f t="shared" si="135"/>
        <v>0</v>
      </c>
      <c r="AY78" s="27">
        <f t="shared" si="136"/>
        <v>0</v>
      </c>
      <c r="BH78" s="2">
        <f t="shared" si="137"/>
        <v>0</v>
      </c>
      <c r="BI78" s="298" t="str">
        <f t="shared" si="138"/>
        <v/>
      </c>
      <c r="BJ78" s="298" t="str">
        <f t="shared" si="107"/>
        <v/>
      </c>
      <c r="BQ78" s="4">
        <f t="shared" si="139"/>
        <v>45182</v>
      </c>
      <c r="BR78" s="112">
        <f t="shared" si="140"/>
        <v>0</v>
      </c>
      <c r="BS78" s="112">
        <f t="shared" si="141"/>
        <v>0</v>
      </c>
      <c r="BT78" s="112">
        <f t="shared" si="142"/>
        <v>0</v>
      </c>
      <c r="BU78" s="112">
        <f t="shared" si="143"/>
        <v>0</v>
      </c>
      <c r="BV78" s="112">
        <f t="shared" si="144"/>
        <v>0</v>
      </c>
      <c r="CI78" s="4">
        <f t="shared" si="145"/>
        <v>45182</v>
      </c>
      <c r="CJ78" s="50">
        <f ca="1">IF($BH78=0,IF($CO78="",CJ77+R78,IF('283'!$K$251=1,VLOOKUP($CO78,PerStBal,2)+R78,IF('283'!$K$253=1,(VLOOKUP($CO78,PerPortion,2)*VLOOKUP($CO78,PerStBal,6))+R78,GL!BS78))),0)</f>
        <v>0</v>
      </c>
      <c r="CK78" s="425">
        <f ca="1">IF($BH78=0,IF($CO78="",CK77+T78,IF('283'!$K$251=1,IF(mname2&lt;&gt;"",VLOOKUP($CO78,PerStBal,3)+T78,0),IF('283'!$K$253=1,(VLOOKUP($CO78,PerPortion,3)*VLOOKUP($CO78,PerStBal,6))+T78,GL!BT78))),0)</f>
        <v>0</v>
      </c>
      <c r="CL78" s="425">
        <f ca="1">IF($BH78=0,IF($CO78="",CL77+V78,IF('283'!$K$251=1,IF(mname3&lt;&gt;"",VLOOKUP($CO78,PerStBal,4)+V78,0),IF('283'!$K$253=1,(VLOOKUP($CO78,PerPortion,4)*VLOOKUP($CO78,PerStBal,6))+V78,GL!BU78))),0)</f>
        <v>0</v>
      </c>
      <c r="CM78" s="425">
        <f ca="1">IF($BH78=0,IF($CO78="",CM77+X78,IF('283'!$K$251=1,IF(mname4&lt;&gt;"",VLOOKUP($CO78,PerStBal,5)+X78,0),IF('283'!$K$253=1,(VLOOKUP($CO78,PerPortion,5)*VLOOKUP($CO78,PerStBal,6))+X78,GL!BV78))),0)</f>
        <v>0</v>
      </c>
      <c r="CN78" s="50">
        <f t="shared" ca="1" si="146"/>
        <v>0</v>
      </c>
      <c r="CO78" s="4" t="str">
        <f t="shared" ca="1" si="147"/>
        <v/>
      </c>
      <c r="CP78" s="377">
        <f t="shared" si="108"/>
        <v>0</v>
      </c>
      <c r="DI78" s="4">
        <f t="shared" si="148"/>
        <v>45182</v>
      </c>
      <c r="DJ78" s="112">
        <f t="shared" ca="1" si="149"/>
        <v>0</v>
      </c>
      <c r="DK78" s="112">
        <f t="shared" si="150"/>
        <v>0</v>
      </c>
      <c r="DL78" s="4">
        <f t="shared" si="151"/>
        <v>45182</v>
      </c>
      <c r="DM78" s="112">
        <f t="shared" ca="1" si="152"/>
        <v>0</v>
      </c>
      <c r="DN78" s="112">
        <f t="shared" si="153"/>
        <v>0</v>
      </c>
      <c r="DO78" s="4">
        <f t="shared" si="154"/>
        <v>45182</v>
      </c>
      <c r="DP78" s="112">
        <f t="shared" ca="1" si="155"/>
        <v>0</v>
      </c>
      <c r="DQ78" s="112">
        <f t="shared" si="156"/>
        <v>0</v>
      </c>
      <c r="DR78" s="4">
        <f t="shared" si="157"/>
        <v>45182</v>
      </c>
      <c r="DS78" s="112">
        <f t="shared" ca="1" si="158"/>
        <v>0</v>
      </c>
      <c r="DT78" s="112">
        <f t="shared" si="159"/>
        <v>0</v>
      </c>
      <c r="DU78" s="4">
        <f t="shared" si="160"/>
        <v>45182</v>
      </c>
      <c r="DV78" s="112">
        <f t="shared" si="161"/>
        <v>0</v>
      </c>
      <c r="DW78" s="112">
        <f t="shared" si="162"/>
        <v>0</v>
      </c>
    </row>
    <row r="79" spans="2:127" x14ac:dyDescent="0.25">
      <c r="B79" s="39" t="str">
        <f>IF(LEFT('283'!B186,1)="R","Benefits Paid","")</f>
        <v/>
      </c>
      <c r="C79" s="3" t="str">
        <f>IF(B79&lt;&gt;"",IF('283'!C186&lt;&gt;"",'283'!C186,""),"")</f>
        <v/>
      </c>
      <c r="D79" s="40" t="str">
        <f>IF($B79&lt;&gt;"",IF('283'!D186&lt;&gt;"",'283'!D186,""),"")</f>
        <v/>
      </c>
      <c r="E79" s="40" t="str">
        <f>IF($B79&lt;&gt;"",IF('283'!E186&lt;&gt;"",'283'!E186,""),"")</f>
        <v/>
      </c>
      <c r="F79" s="40" t="str">
        <f>IF($B79&lt;&gt;"",IF('283'!F186&lt;&gt;"",'283'!F186,""),"")</f>
        <v/>
      </c>
      <c r="G79" s="41" t="str">
        <f>IF($B79&lt;&gt;"",IF('283'!G186&lt;&gt;"",'283'!G186,""),"")</f>
        <v/>
      </c>
      <c r="H79" s="23">
        <v>75</v>
      </c>
      <c r="I79" s="42" t="str">
        <f>IF(AND(LEFT('283'!B186,1)&lt;&gt;"R",LEFT('283'!B186,1)&lt;&gt;""),'283'!B186,"")</f>
        <v/>
      </c>
      <c r="J79" s="3" t="str">
        <f>IF(I79&lt;&gt;"",IF('283'!C186&lt;&gt;"",'283'!C186,""),"")</f>
        <v/>
      </c>
      <c r="K79" s="40" t="str">
        <f>IF($I79&lt;&gt;"",IF('283'!D186&lt;&gt;"",IF(LEFT($I79,1)="N",-'283'!D186,'283'!D186),""),"")</f>
        <v/>
      </c>
      <c r="L79" s="40" t="str">
        <f>IF($I79&lt;&gt;"",IF('283'!E186&lt;&gt;"",IF(LEFT($I79,1)="N",-'283'!E186,'283'!E186),""),"")</f>
        <v/>
      </c>
      <c r="M79" s="40" t="str">
        <f>IF($I79&lt;&gt;"",IF('283'!F186&lt;&gt;"",IF(LEFT($I79,1)="N",-'283'!F186,'283'!F186),""),"")</f>
        <v/>
      </c>
      <c r="N79" s="40" t="str">
        <f>IF($I79&lt;&gt;"",IF('283'!G186&lt;&gt;"",IF(LEFT($I79,1)="N",-'283'!G186,'283'!G186),""),"")</f>
        <v/>
      </c>
      <c r="O79" s="43"/>
      <c r="P79" s="38"/>
      <c r="Q79" s="4">
        <f t="shared" si="109"/>
        <v>45183</v>
      </c>
      <c r="R79" s="24">
        <f t="shared" si="110"/>
        <v>0</v>
      </c>
      <c r="S79" s="25">
        <f t="shared" si="111"/>
        <v>0</v>
      </c>
      <c r="T79" s="24">
        <f t="shared" si="112"/>
        <v>0</v>
      </c>
      <c r="U79" s="25">
        <f t="shared" si="113"/>
        <v>0</v>
      </c>
      <c r="V79" s="24">
        <f t="shared" si="114"/>
        <v>0</v>
      </c>
      <c r="W79" s="25">
        <f t="shared" si="115"/>
        <v>0</v>
      </c>
      <c r="X79" s="24">
        <f t="shared" si="116"/>
        <v>0</v>
      </c>
      <c r="Y79" s="26">
        <f t="shared" si="117"/>
        <v>0</v>
      </c>
      <c r="Z79" s="27">
        <f t="shared" si="118"/>
        <v>0</v>
      </c>
      <c r="AA79" s="28">
        <f t="shared" si="119"/>
        <v>45183</v>
      </c>
      <c r="AB79" s="24">
        <f t="shared" si="120"/>
        <v>0</v>
      </c>
      <c r="AC79" s="25">
        <f t="shared" si="121"/>
        <v>0</v>
      </c>
      <c r="AD79" s="28">
        <f t="shared" si="122"/>
        <v>45183</v>
      </c>
      <c r="AE79" s="24">
        <f t="shared" si="123"/>
        <v>0</v>
      </c>
      <c r="AF79" s="25">
        <f t="shared" si="124"/>
        <v>0</v>
      </c>
      <c r="AG79" s="28">
        <f t="shared" si="125"/>
        <v>45183</v>
      </c>
      <c r="AH79" s="24">
        <f t="shared" si="126"/>
        <v>0</v>
      </c>
      <c r="AI79" s="25">
        <f t="shared" si="127"/>
        <v>0</v>
      </c>
      <c r="AJ79" s="28">
        <f t="shared" si="128"/>
        <v>45183</v>
      </c>
      <c r="AK79" s="24">
        <f t="shared" si="129"/>
        <v>0</v>
      </c>
      <c r="AL79" s="25">
        <f t="shared" si="130"/>
        <v>0</v>
      </c>
      <c r="AM79" s="29">
        <f t="shared" si="131"/>
        <v>0</v>
      </c>
      <c r="AN79" s="28">
        <f t="shared" si="132"/>
        <v>45183</v>
      </c>
      <c r="AO79" s="373">
        <f t="shared" si="101"/>
        <v>0</v>
      </c>
      <c r="AP79" s="374">
        <f t="shared" si="102"/>
        <v>0</v>
      </c>
      <c r="AQ79" s="27">
        <f t="shared" si="103"/>
        <v>0</v>
      </c>
      <c r="AR79" s="25">
        <f t="shared" si="104"/>
        <v>0</v>
      </c>
      <c r="AS79" s="25">
        <f t="shared" si="105"/>
        <v>0</v>
      </c>
      <c r="AT79" s="25">
        <f t="shared" si="106"/>
        <v>0</v>
      </c>
      <c r="AU79" s="29">
        <f t="shared" si="163"/>
        <v>0</v>
      </c>
      <c r="AV79" s="27">
        <f t="shared" si="133"/>
        <v>0</v>
      </c>
      <c r="AW79" s="27">
        <f t="shared" si="134"/>
        <v>0</v>
      </c>
      <c r="AX79" s="27">
        <f t="shared" si="135"/>
        <v>0</v>
      </c>
      <c r="AY79" s="27">
        <f t="shared" si="136"/>
        <v>0</v>
      </c>
      <c r="BH79" s="2">
        <f t="shared" si="137"/>
        <v>0</v>
      </c>
      <c r="BI79" s="298" t="str">
        <f t="shared" si="138"/>
        <v/>
      </c>
      <c r="BJ79" s="298" t="str">
        <f t="shared" si="107"/>
        <v/>
      </c>
      <c r="BQ79" s="4">
        <f t="shared" si="139"/>
        <v>45183</v>
      </c>
      <c r="BR79" s="112">
        <f t="shared" si="140"/>
        <v>0</v>
      </c>
      <c r="BS79" s="112">
        <f t="shared" si="141"/>
        <v>0</v>
      </c>
      <c r="BT79" s="112">
        <f t="shared" si="142"/>
        <v>0</v>
      </c>
      <c r="BU79" s="112">
        <f t="shared" si="143"/>
        <v>0</v>
      </c>
      <c r="BV79" s="112">
        <f t="shared" si="144"/>
        <v>0</v>
      </c>
      <c r="CI79" s="4">
        <f t="shared" si="145"/>
        <v>45183</v>
      </c>
      <c r="CJ79" s="50">
        <f ca="1">IF($BH79=0,IF($CO79="",CJ78+R79,IF('283'!$K$251=1,VLOOKUP($CO79,PerStBal,2)+R79,IF('283'!$K$253=1,(VLOOKUP($CO79,PerPortion,2)*VLOOKUP($CO79,PerStBal,6))+R79,GL!BS79))),0)</f>
        <v>0</v>
      </c>
      <c r="CK79" s="425">
        <f ca="1">IF($BH79=0,IF($CO79="",CK78+T79,IF('283'!$K$251=1,IF(mname2&lt;&gt;"",VLOOKUP($CO79,PerStBal,3)+T79,0),IF('283'!$K$253=1,(VLOOKUP($CO79,PerPortion,3)*VLOOKUP($CO79,PerStBal,6))+T79,GL!BT79))),0)</f>
        <v>0</v>
      </c>
      <c r="CL79" s="425">
        <f ca="1">IF($BH79=0,IF($CO79="",CL78+V79,IF('283'!$K$251=1,IF(mname3&lt;&gt;"",VLOOKUP($CO79,PerStBal,4)+V79,0),IF('283'!$K$253=1,(VLOOKUP($CO79,PerPortion,4)*VLOOKUP($CO79,PerStBal,6))+V79,GL!BU79))),0)</f>
        <v>0</v>
      </c>
      <c r="CM79" s="425">
        <f ca="1">IF($BH79=0,IF($CO79="",CM78+X79,IF('283'!$K$251=1,IF(mname4&lt;&gt;"",VLOOKUP($CO79,PerStBal,5)+X79,0),IF('283'!$K$253=1,(VLOOKUP($CO79,PerPortion,5)*VLOOKUP($CO79,PerStBal,6))+X79,GL!BV79))),0)</f>
        <v>0</v>
      </c>
      <c r="CN79" s="50">
        <f t="shared" ca="1" si="146"/>
        <v>0</v>
      </c>
      <c r="CO79" s="4" t="str">
        <f t="shared" ca="1" si="147"/>
        <v/>
      </c>
      <c r="CP79" s="377">
        <f t="shared" si="108"/>
        <v>0</v>
      </c>
      <c r="DI79" s="4">
        <f t="shared" si="148"/>
        <v>45183</v>
      </c>
      <c r="DJ79" s="112">
        <f t="shared" ca="1" si="149"/>
        <v>0</v>
      </c>
      <c r="DK79" s="112">
        <f t="shared" si="150"/>
        <v>0</v>
      </c>
      <c r="DL79" s="4">
        <f t="shared" si="151"/>
        <v>45183</v>
      </c>
      <c r="DM79" s="112">
        <f t="shared" ca="1" si="152"/>
        <v>0</v>
      </c>
      <c r="DN79" s="112">
        <f t="shared" si="153"/>
        <v>0</v>
      </c>
      <c r="DO79" s="4">
        <f t="shared" si="154"/>
        <v>45183</v>
      </c>
      <c r="DP79" s="112">
        <f t="shared" ca="1" si="155"/>
        <v>0</v>
      </c>
      <c r="DQ79" s="112">
        <f t="shared" si="156"/>
        <v>0</v>
      </c>
      <c r="DR79" s="4">
        <f t="shared" si="157"/>
        <v>45183</v>
      </c>
      <c r="DS79" s="112">
        <f t="shared" ca="1" si="158"/>
        <v>0</v>
      </c>
      <c r="DT79" s="112">
        <f t="shared" si="159"/>
        <v>0</v>
      </c>
      <c r="DU79" s="4">
        <f t="shared" si="160"/>
        <v>45183</v>
      </c>
      <c r="DV79" s="112">
        <f t="shared" si="161"/>
        <v>0</v>
      </c>
      <c r="DW79" s="112">
        <f t="shared" si="162"/>
        <v>0</v>
      </c>
    </row>
    <row r="80" spans="2:127" x14ac:dyDescent="0.25">
      <c r="B80" s="39" t="str">
        <f>IF(LEFT('283'!B187,1)="R","Benefits Paid","")</f>
        <v/>
      </c>
      <c r="C80" s="3" t="str">
        <f>IF(B80&lt;&gt;"",IF('283'!C187&lt;&gt;"",'283'!C187,""),"")</f>
        <v/>
      </c>
      <c r="D80" s="40" t="str">
        <f>IF($B80&lt;&gt;"",IF('283'!D187&lt;&gt;"",'283'!D187,""),"")</f>
        <v/>
      </c>
      <c r="E80" s="40" t="str">
        <f>IF($B80&lt;&gt;"",IF('283'!E187&lt;&gt;"",'283'!E187,""),"")</f>
        <v/>
      </c>
      <c r="F80" s="40" t="str">
        <f>IF($B80&lt;&gt;"",IF('283'!F187&lt;&gt;"",'283'!F187,""),"")</f>
        <v/>
      </c>
      <c r="G80" s="41" t="str">
        <f>IF($B80&lt;&gt;"",IF('283'!G187&lt;&gt;"",'283'!G187,""),"")</f>
        <v/>
      </c>
      <c r="H80" s="23">
        <v>76</v>
      </c>
      <c r="I80" s="42" t="str">
        <f>IF(AND(LEFT('283'!B187,1)&lt;&gt;"R",LEFT('283'!B187,1)&lt;&gt;""),'283'!B187,"")</f>
        <v/>
      </c>
      <c r="J80" s="3" t="str">
        <f>IF(I80&lt;&gt;"",IF('283'!C187&lt;&gt;"",'283'!C187,""),"")</f>
        <v/>
      </c>
      <c r="K80" s="40" t="str">
        <f>IF($I80&lt;&gt;"",IF('283'!D187&lt;&gt;"",IF(LEFT($I80,1)="N",-'283'!D187,'283'!D187),""),"")</f>
        <v/>
      </c>
      <c r="L80" s="40" t="str">
        <f>IF($I80&lt;&gt;"",IF('283'!E187&lt;&gt;"",IF(LEFT($I80,1)="N",-'283'!E187,'283'!E187),""),"")</f>
        <v/>
      </c>
      <c r="M80" s="40" t="str">
        <f>IF($I80&lt;&gt;"",IF('283'!F187&lt;&gt;"",IF(LEFT($I80,1)="N",-'283'!F187,'283'!F187),""),"")</f>
        <v/>
      </c>
      <c r="N80" s="40" t="str">
        <f>IF($I80&lt;&gt;"",IF('283'!G187&lt;&gt;"",IF(LEFT($I80,1)="N",-'283'!G187,'283'!G187),""),"")</f>
        <v/>
      </c>
      <c r="O80" s="43"/>
      <c r="P80" s="38"/>
      <c r="Q80" s="4">
        <f t="shared" si="109"/>
        <v>45184</v>
      </c>
      <c r="R80" s="24">
        <f t="shared" si="110"/>
        <v>0</v>
      </c>
      <c r="S80" s="25">
        <f t="shared" si="111"/>
        <v>0</v>
      </c>
      <c r="T80" s="24">
        <f t="shared" si="112"/>
        <v>0</v>
      </c>
      <c r="U80" s="25">
        <f t="shared" si="113"/>
        <v>0</v>
      </c>
      <c r="V80" s="24">
        <f t="shared" si="114"/>
        <v>0</v>
      </c>
      <c r="W80" s="25">
        <f t="shared" si="115"/>
        <v>0</v>
      </c>
      <c r="X80" s="24">
        <f t="shared" si="116"/>
        <v>0</v>
      </c>
      <c r="Y80" s="26">
        <f t="shared" si="117"/>
        <v>0</v>
      </c>
      <c r="Z80" s="27">
        <f t="shared" si="118"/>
        <v>0</v>
      </c>
      <c r="AA80" s="28">
        <f t="shared" si="119"/>
        <v>45184</v>
      </c>
      <c r="AB80" s="24">
        <f t="shared" si="120"/>
        <v>0</v>
      </c>
      <c r="AC80" s="25">
        <f t="shared" si="121"/>
        <v>0</v>
      </c>
      <c r="AD80" s="28">
        <f t="shared" si="122"/>
        <v>45184</v>
      </c>
      <c r="AE80" s="24">
        <f t="shared" si="123"/>
        <v>0</v>
      </c>
      <c r="AF80" s="25">
        <f t="shared" si="124"/>
        <v>0</v>
      </c>
      <c r="AG80" s="28">
        <f t="shared" si="125"/>
        <v>45184</v>
      </c>
      <c r="AH80" s="24">
        <f t="shared" si="126"/>
        <v>0</v>
      </c>
      <c r="AI80" s="25">
        <f t="shared" si="127"/>
        <v>0</v>
      </c>
      <c r="AJ80" s="28">
        <f t="shared" si="128"/>
        <v>45184</v>
      </c>
      <c r="AK80" s="24">
        <f t="shared" si="129"/>
        <v>0</v>
      </c>
      <c r="AL80" s="25">
        <f t="shared" si="130"/>
        <v>0</v>
      </c>
      <c r="AM80" s="29">
        <f t="shared" si="131"/>
        <v>0</v>
      </c>
      <c r="AN80" s="28">
        <f t="shared" si="132"/>
        <v>45184</v>
      </c>
      <c r="AO80" s="373">
        <f t="shared" si="101"/>
        <v>0</v>
      </c>
      <c r="AP80" s="374">
        <f t="shared" si="102"/>
        <v>0</v>
      </c>
      <c r="AQ80" s="27">
        <f t="shared" si="103"/>
        <v>0</v>
      </c>
      <c r="AR80" s="25">
        <f t="shared" si="104"/>
        <v>0</v>
      </c>
      <c r="AS80" s="25">
        <f t="shared" si="105"/>
        <v>0</v>
      </c>
      <c r="AT80" s="25">
        <f t="shared" si="106"/>
        <v>0</v>
      </c>
      <c r="AU80" s="29">
        <f t="shared" si="163"/>
        <v>0</v>
      </c>
      <c r="AV80" s="27">
        <f t="shared" si="133"/>
        <v>0</v>
      </c>
      <c r="AW80" s="27">
        <f t="shared" si="134"/>
        <v>0</v>
      </c>
      <c r="AX80" s="27">
        <f t="shared" si="135"/>
        <v>0</v>
      </c>
      <c r="AY80" s="27">
        <f t="shared" si="136"/>
        <v>0</v>
      </c>
      <c r="BH80" s="2">
        <f t="shared" si="137"/>
        <v>0</v>
      </c>
      <c r="BI80" s="298" t="str">
        <f t="shared" si="138"/>
        <v/>
      </c>
      <c r="BJ80" s="298" t="str">
        <f t="shared" si="107"/>
        <v/>
      </c>
      <c r="BQ80" s="4">
        <f t="shared" si="139"/>
        <v>45184</v>
      </c>
      <c r="BR80" s="112">
        <f t="shared" si="140"/>
        <v>0</v>
      </c>
      <c r="BS80" s="112">
        <f t="shared" si="141"/>
        <v>0</v>
      </c>
      <c r="BT80" s="112">
        <f t="shared" si="142"/>
        <v>0</v>
      </c>
      <c r="BU80" s="112">
        <f t="shared" si="143"/>
        <v>0</v>
      </c>
      <c r="BV80" s="112">
        <f t="shared" si="144"/>
        <v>0</v>
      </c>
      <c r="CI80" s="4">
        <f t="shared" si="145"/>
        <v>45184</v>
      </c>
      <c r="CJ80" s="50">
        <f ca="1">IF($BH80=0,IF($CO80="",CJ79+R80,IF('283'!$K$251=1,VLOOKUP($CO80,PerStBal,2)+R80,IF('283'!$K$253=1,(VLOOKUP($CO80,PerPortion,2)*VLOOKUP($CO80,PerStBal,6))+R80,GL!BS80))),0)</f>
        <v>0</v>
      </c>
      <c r="CK80" s="425">
        <f ca="1">IF($BH80=0,IF($CO80="",CK79+T80,IF('283'!$K$251=1,IF(mname2&lt;&gt;"",VLOOKUP($CO80,PerStBal,3)+T80,0),IF('283'!$K$253=1,(VLOOKUP($CO80,PerPortion,3)*VLOOKUP($CO80,PerStBal,6))+T80,GL!BT80))),0)</f>
        <v>0</v>
      </c>
      <c r="CL80" s="425">
        <f ca="1">IF($BH80=0,IF($CO80="",CL79+V80,IF('283'!$K$251=1,IF(mname3&lt;&gt;"",VLOOKUP($CO80,PerStBal,4)+V80,0),IF('283'!$K$253=1,(VLOOKUP($CO80,PerPortion,4)*VLOOKUP($CO80,PerStBal,6))+V80,GL!BU80))),0)</f>
        <v>0</v>
      </c>
      <c r="CM80" s="425">
        <f ca="1">IF($BH80=0,IF($CO80="",CM79+X80,IF('283'!$K$251=1,IF(mname4&lt;&gt;"",VLOOKUP($CO80,PerStBal,5)+X80,0),IF('283'!$K$253=1,(VLOOKUP($CO80,PerPortion,5)*VLOOKUP($CO80,PerStBal,6))+X80,GL!BV80))),0)</f>
        <v>0</v>
      </c>
      <c r="CN80" s="50">
        <f t="shared" ca="1" si="146"/>
        <v>0</v>
      </c>
      <c r="CO80" s="4" t="str">
        <f t="shared" ca="1" si="147"/>
        <v/>
      </c>
      <c r="CP80" s="377">
        <f t="shared" si="108"/>
        <v>0</v>
      </c>
      <c r="DI80" s="4">
        <f t="shared" si="148"/>
        <v>45184</v>
      </c>
      <c r="DJ80" s="112">
        <f t="shared" ca="1" si="149"/>
        <v>0</v>
      </c>
      <c r="DK80" s="112">
        <f t="shared" si="150"/>
        <v>0</v>
      </c>
      <c r="DL80" s="4">
        <f t="shared" si="151"/>
        <v>45184</v>
      </c>
      <c r="DM80" s="112">
        <f t="shared" ca="1" si="152"/>
        <v>0</v>
      </c>
      <c r="DN80" s="112">
        <f t="shared" si="153"/>
        <v>0</v>
      </c>
      <c r="DO80" s="4">
        <f t="shared" si="154"/>
        <v>45184</v>
      </c>
      <c r="DP80" s="112">
        <f t="shared" ca="1" si="155"/>
        <v>0</v>
      </c>
      <c r="DQ80" s="112">
        <f t="shared" si="156"/>
        <v>0</v>
      </c>
      <c r="DR80" s="4">
        <f t="shared" si="157"/>
        <v>45184</v>
      </c>
      <c r="DS80" s="112">
        <f t="shared" ca="1" si="158"/>
        <v>0</v>
      </c>
      <c r="DT80" s="112">
        <f t="shared" si="159"/>
        <v>0</v>
      </c>
      <c r="DU80" s="4">
        <f t="shared" si="160"/>
        <v>45184</v>
      </c>
      <c r="DV80" s="112">
        <f t="shared" si="161"/>
        <v>0</v>
      </c>
      <c r="DW80" s="112">
        <f t="shared" si="162"/>
        <v>0</v>
      </c>
    </row>
    <row r="81" spans="1:127" x14ac:dyDescent="0.25">
      <c r="B81" s="39" t="str">
        <f>IF(LEFT('283'!B188,1)="R","Benefits Paid","")</f>
        <v/>
      </c>
      <c r="C81" s="3" t="str">
        <f>IF(B81&lt;&gt;"",IF('283'!C188&lt;&gt;"",'283'!C188,""),"")</f>
        <v/>
      </c>
      <c r="D81" s="40" t="str">
        <f>IF($B81&lt;&gt;"",IF('283'!D188&lt;&gt;"",'283'!D188,""),"")</f>
        <v/>
      </c>
      <c r="E81" s="40" t="str">
        <f>IF($B81&lt;&gt;"",IF('283'!E188&lt;&gt;"",'283'!E188,""),"")</f>
        <v/>
      </c>
      <c r="F81" s="40" t="str">
        <f>IF($B81&lt;&gt;"",IF('283'!F188&lt;&gt;"",'283'!F188,""),"")</f>
        <v/>
      </c>
      <c r="G81" s="41" t="str">
        <f>IF($B81&lt;&gt;"",IF('283'!G188&lt;&gt;"",'283'!G188,""),"")</f>
        <v/>
      </c>
      <c r="H81" s="23">
        <v>77</v>
      </c>
      <c r="I81" s="42" t="str">
        <f>IF(AND(LEFT('283'!B188,1)&lt;&gt;"R",LEFT('283'!B188,1)&lt;&gt;""),'283'!B188,"")</f>
        <v/>
      </c>
      <c r="J81" s="3" t="str">
        <f>IF(I81&lt;&gt;"",IF('283'!C188&lt;&gt;"",'283'!C188,""),"")</f>
        <v/>
      </c>
      <c r="K81" s="40" t="str">
        <f>IF($I81&lt;&gt;"",IF('283'!D188&lt;&gt;"",IF(LEFT($I81,1)="N",-'283'!D188,'283'!D188),""),"")</f>
        <v/>
      </c>
      <c r="L81" s="40" t="str">
        <f>IF($I81&lt;&gt;"",IF('283'!E188&lt;&gt;"",IF(LEFT($I81,1)="N",-'283'!E188,'283'!E188),""),"")</f>
        <v/>
      </c>
      <c r="M81" s="40" t="str">
        <f>IF($I81&lt;&gt;"",IF('283'!F188&lt;&gt;"",IF(LEFT($I81,1)="N",-'283'!F188,'283'!F188),""),"")</f>
        <v/>
      </c>
      <c r="N81" s="40" t="str">
        <f>IF($I81&lt;&gt;"",IF('283'!G188&lt;&gt;"",IF(LEFT($I81,1)="N",-'283'!G188,'283'!G188),""),"")</f>
        <v/>
      </c>
      <c r="O81" s="43"/>
      <c r="P81" s="38"/>
      <c r="Q81" s="4">
        <f t="shared" si="109"/>
        <v>45185</v>
      </c>
      <c r="R81" s="24">
        <f t="shared" si="110"/>
        <v>0</v>
      </c>
      <c r="S81" s="25">
        <f t="shared" si="111"/>
        <v>0</v>
      </c>
      <c r="T81" s="24">
        <f t="shared" si="112"/>
        <v>0</v>
      </c>
      <c r="U81" s="25">
        <f t="shared" si="113"/>
        <v>0</v>
      </c>
      <c r="V81" s="24">
        <f t="shared" si="114"/>
        <v>0</v>
      </c>
      <c r="W81" s="25">
        <f t="shared" si="115"/>
        <v>0</v>
      </c>
      <c r="X81" s="24">
        <f t="shared" si="116"/>
        <v>0</v>
      </c>
      <c r="Y81" s="26">
        <f t="shared" si="117"/>
        <v>0</v>
      </c>
      <c r="Z81" s="27">
        <f t="shared" si="118"/>
        <v>0</v>
      </c>
      <c r="AA81" s="28">
        <f t="shared" si="119"/>
        <v>45185</v>
      </c>
      <c r="AB81" s="24">
        <f t="shared" si="120"/>
        <v>0</v>
      </c>
      <c r="AC81" s="25">
        <f t="shared" si="121"/>
        <v>0</v>
      </c>
      <c r="AD81" s="28">
        <f t="shared" si="122"/>
        <v>45185</v>
      </c>
      <c r="AE81" s="24">
        <f t="shared" si="123"/>
        <v>0</v>
      </c>
      <c r="AF81" s="25">
        <f t="shared" si="124"/>
        <v>0</v>
      </c>
      <c r="AG81" s="28">
        <f t="shared" si="125"/>
        <v>45185</v>
      </c>
      <c r="AH81" s="24">
        <f t="shared" si="126"/>
        <v>0</v>
      </c>
      <c r="AI81" s="25">
        <f t="shared" si="127"/>
        <v>0</v>
      </c>
      <c r="AJ81" s="28">
        <f t="shared" si="128"/>
        <v>45185</v>
      </c>
      <c r="AK81" s="24">
        <f t="shared" si="129"/>
        <v>0</v>
      </c>
      <c r="AL81" s="25">
        <f t="shared" si="130"/>
        <v>0</v>
      </c>
      <c r="AM81" s="29">
        <f t="shared" si="131"/>
        <v>0</v>
      </c>
      <c r="AN81" s="28">
        <f t="shared" si="132"/>
        <v>45185</v>
      </c>
      <c r="AO81" s="373">
        <f t="shared" si="101"/>
        <v>0</v>
      </c>
      <c r="AP81" s="374">
        <f t="shared" si="102"/>
        <v>0</v>
      </c>
      <c r="AQ81" s="27">
        <f t="shared" si="103"/>
        <v>0</v>
      </c>
      <c r="AR81" s="25">
        <f t="shared" si="104"/>
        <v>0</v>
      </c>
      <c r="AS81" s="25">
        <f t="shared" si="105"/>
        <v>0</v>
      </c>
      <c r="AT81" s="25">
        <f t="shared" si="106"/>
        <v>0</v>
      </c>
      <c r="AU81" s="29">
        <f t="shared" si="163"/>
        <v>0</v>
      </c>
      <c r="AV81" s="27">
        <f t="shared" si="133"/>
        <v>0</v>
      </c>
      <c r="AW81" s="27">
        <f t="shared" si="134"/>
        <v>0</v>
      </c>
      <c r="AX81" s="27">
        <f t="shared" si="135"/>
        <v>0</v>
      </c>
      <c r="AY81" s="27">
        <f t="shared" si="136"/>
        <v>0</v>
      </c>
      <c r="BH81" s="2">
        <f t="shared" si="137"/>
        <v>0</v>
      </c>
      <c r="BI81" s="298" t="str">
        <f t="shared" si="138"/>
        <v/>
      </c>
      <c r="BJ81" s="298" t="str">
        <f t="shared" si="107"/>
        <v/>
      </c>
      <c r="BQ81" s="4">
        <f t="shared" si="139"/>
        <v>45185</v>
      </c>
      <c r="BR81" s="112">
        <f t="shared" si="140"/>
        <v>0</v>
      </c>
      <c r="BS81" s="112">
        <f t="shared" si="141"/>
        <v>0</v>
      </c>
      <c r="BT81" s="112">
        <f t="shared" si="142"/>
        <v>0</v>
      </c>
      <c r="BU81" s="112">
        <f t="shared" si="143"/>
        <v>0</v>
      </c>
      <c r="BV81" s="112">
        <f t="shared" si="144"/>
        <v>0</v>
      </c>
      <c r="CI81" s="4">
        <f t="shared" si="145"/>
        <v>45185</v>
      </c>
      <c r="CJ81" s="50">
        <f ca="1">IF($BH81=0,IF($CO81="",CJ80+R81,IF('283'!$K$251=1,VLOOKUP($CO81,PerStBal,2)+R81,IF('283'!$K$253=1,(VLOOKUP($CO81,PerPortion,2)*VLOOKUP($CO81,PerStBal,6))+R81,GL!BS81))),0)</f>
        <v>0</v>
      </c>
      <c r="CK81" s="425">
        <f ca="1">IF($BH81=0,IF($CO81="",CK80+T81,IF('283'!$K$251=1,IF(mname2&lt;&gt;"",VLOOKUP($CO81,PerStBal,3)+T81,0),IF('283'!$K$253=1,(VLOOKUP($CO81,PerPortion,3)*VLOOKUP($CO81,PerStBal,6))+T81,GL!BT81))),0)</f>
        <v>0</v>
      </c>
      <c r="CL81" s="425">
        <f ca="1">IF($BH81=0,IF($CO81="",CL80+V81,IF('283'!$K$251=1,IF(mname3&lt;&gt;"",VLOOKUP($CO81,PerStBal,4)+V81,0),IF('283'!$K$253=1,(VLOOKUP($CO81,PerPortion,4)*VLOOKUP($CO81,PerStBal,6))+V81,GL!BU81))),0)</f>
        <v>0</v>
      </c>
      <c r="CM81" s="425">
        <f ca="1">IF($BH81=0,IF($CO81="",CM80+X81,IF('283'!$K$251=1,IF(mname4&lt;&gt;"",VLOOKUP($CO81,PerStBal,5)+X81,0),IF('283'!$K$253=1,(VLOOKUP($CO81,PerPortion,5)*VLOOKUP($CO81,PerStBal,6))+X81,GL!BV81))),0)</f>
        <v>0</v>
      </c>
      <c r="CN81" s="50">
        <f t="shared" ca="1" si="146"/>
        <v>0</v>
      </c>
      <c r="CO81" s="4" t="str">
        <f t="shared" ca="1" si="147"/>
        <v/>
      </c>
      <c r="CP81" s="377">
        <f t="shared" si="108"/>
        <v>0</v>
      </c>
      <c r="DI81" s="4">
        <f t="shared" si="148"/>
        <v>45185</v>
      </c>
      <c r="DJ81" s="112">
        <f t="shared" ca="1" si="149"/>
        <v>0</v>
      </c>
      <c r="DK81" s="112">
        <f t="shared" si="150"/>
        <v>0</v>
      </c>
      <c r="DL81" s="4">
        <f t="shared" si="151"/>
        <v>45185</v>
      </c>
      <c r="DM81" s="112">
        <f t="shared" ca="1" si="152"/>
        <v>0</v>
      </c>
      <c r="DN81" s="112">
        <f t="shared" si="153"/>
        <v>0</v>
      </c>
      <c r="DO81" s="4">
        <f t="shared" si="154"/>
        <v>45185</v>
      </c>
      <c r="DP81" s="112">
        <f t="shared" ca="1" si="155"/>
        <v>0</v>
      </c>
      <c r="DQ81" s="112">
        <f t="shared" si="156"/>
        <v>0</v>
      </c>
      <c r="DR81" s="4">
        <f t="shared" si="157"/>
        <v>45185</v>
      </c>
      <c r="DS81" s="112">
        <f t="shared" ca="1" si="158"/>
        <v>0</v>
      </c>
      <c r="DT81" s="112">
        <f t="shared" si="159"/>
        <v>0</v>
      </c>
      <c r="DU81" s="4">
        <f t="shared" si="160"/>
        <v>45185</v>
      </c>
      <c r="DV81" s="112">
        <f t="shared" si="161"/>
        <v>0</v>
      </c>
      <c r="DW81" s="112">
        <f t="shared" si="162"/>
        <v>0</v>
      </c>
    </row>
    <row r="82" spans="1:127" x14ac:dyDescent="0.25">
      <c r="B82" s="39" t="str">
        <f>IF(LEFT('283'!B189,1)="R","Benefits Paid","")</f>
        <v/>
      </c>
      <c r="C82" s="3" t="str">
        <f>IF(B82&lt;&gt;"",IF('283'!C189&lt;&gt;"",'283'!C189,""),"")</f>
        <v/>
      </c>
      <c r="D82" s="40" t="str">
        <f>IF($B82&lt;&gt;"",IF('283'!D189&lt;&gt;"",'283'!D189,""),"")</f>
        <v/>
      </c>
      <c r="E82" s="40" t="str">
        <f>IF($B82&lt;&gt;"",IF('283'!E189&lt;&gt;"",'283'!E189,""),"")</f>
        <v/>
      </c>
      <c r="F82" s="40" t="str">
        <f>IF($B82&lt;&gt;"",IF('283'!F189&lt;&gt;"",'283'!F189,""),"")</f>
        <v/>
      </c>
      <c r="G82" s="41" t="str">
        <f>IF($B82&lt;&gt;"",IF('283'!G189&lt;&gt;"",'283'!G189,""),"")</f>
        <v/>
      </c>
      <c r="H82" s="23">
        <v>78</v>
      </c>
      <c r="I82" s="42" t="str">
        <f>IF(AND(LEFT('283'!B189,1)&lt;&gt;"R",LEFT('283'!B189,1)&lt;&gt;""),'283'!B189,"")</f>
        <v/>
      </c>
      <c r="J82" s="3" t="str">
        <f>IF(I82&lt;&gt;"",IF('283'!C189&lt;&gt;"",'283'!C189,""),"")</f>
        <v/>
      </c>
      <c r="K82" s="40" t="str">
        <f>IF($I82&lt;&gt;"",IF('283'!D189&lt;&gt;"",IF(LEFT($I82,1)="N",-'283'!D189,'283'!D189),""),"")</f>
        <v/>
      </c>
      <c r="L82" s="40" t="str">
        <f>IF($I82&lt;&gt;"",IF('283'!E189&lt;&gt;"",IF(LEFT($I82,1)="N",-'283'!E189,'283'!E189),""),"")</f>
        <v/>
      </c>
      <c r="M82" s="40" t="str">
        <f>IF($I82&lt;&gt;"",IF('283'!F189&lt;&gt;"",IF(LEFT($I82,1)="N",-'283'!F189,'283'!F189),""),"")</f>
        <v/>
      </c>
      <c r="N82" s="40" t="str">
        <f>IF($I82&lt;&gt;"",IF('283'!G189&lt;&gt;"",IF(LEFT($I82,1)="N",-'283'!G189,'283'!G189),""),"")</f>
        <v/>
      </c>
      <c r="O82" s="43"/>
      <c r="P82" s="38"/>
      <c r="Q82" s="4">
        <f t="shared" si="109"/>
        <v>45186</v>
      </c>
      <c r="R82" s="24">
        <f t="shared" si="110"/>
        <v>0</v>
      </c>
      <c r="S82" s="25">
        <f t="shared" si="111"/>
        <v>0</v>
      </c>
      <c r="T82" s="24">
        <f t="shared" si="112"/>
        <v>0</v>
      </c>
      <c r="U82" s="25">
        <f t="shared" si="113"/>
        <v>0</v>
      </c>
      <c r="V82" s="24">
        <f t="shared" si="114"/>
        <v>0</v>
      </c>
      <c r="W82" s="25">
        <f t="shared" si="115"/>
        <v>0</v>
      </c>
      <c r="X82" s="24">
        <f t="shared" si="116"/>
        <v>0</v>
      </c>
      <c r="Y82" s="26">
        <f t="shared" si="117"/>
        <v>0</v>
      </c>
      <c r="Z82" s="27">
        <f t="shared" si="118"/>
        <v>0</v>
      </c>
      <c r="AA82" s="28">
        <f t="shared" si="119"/>
        <v>45186</v>
      </c>
      <c r="AB82" s="24">
        <f t="shared" si="120"/>
        <v>0</v>
      </c>
      <c r="AC82" s="25">
        <f t="shared" si="121"/>
        <v>0</v>
      </c>
      <c r="AD82" s="28">
        <f t="shared" si="122"/>
        <v>45186</v>
      </c>
      <c r="AE82" s="24">
        <f t="shared" si="123"/>
        <v>0</v>
      </c>
      <c r="AF82" s="25">
        <f t="shared" si="124"/>
        <v>0</v>
      </c>
      <c r="AG82" s="28">
        <f t="shared" si="125"/>
        <v>45186</v>
      </c>
      <c r="AH82" s="24">
        <f t="shared" si="126"/>
        <v>0</v>
      </c>
      <c r="AI82" s="25">
        <f t="shared" si="127"/>
        <v>0</v>
      </c>
      <c r="AJ82" s="28">
        <f t="shared" si="128"/>
        <v>45186</v>
      </c>
      <c r="AK82" s="24">
        <f t="shared" si="129"/>
        <v>0</v>
      </c>
      <c r="AL82" s="25">
        <f t="shared" si="130"/>
        <v>0</v>
      </c>
      <c r="AM82" s="29">
        <f t="shared" si="131"/>
        <v>0</v>
      </c>
      <c r="AN82" s="28">
        <f t="shared" si="132"/>
        <v>45186</v>
      </c>
      <c r="AO82" s="373">
        <f t="shared" si="101"/>
        <v>0</v>
      </c>
      <c r="AP82" s="374">
        <f t="shared" si="102"/>
        <v>0</v>
      </c>
      <c r="AQ82" s="27">
        <f t="shared" si="103"/>
        <v>0</v>
      </c>
      <c r="AR82" s="25">
        <f t="shared" si="104"/>
        <v>0</v>
      </c>
      <c r="AS82" s="25">
        <f t="shared" si="105"/>
        <v>0</v>
      </c>
      <c r="AT82" s="25">
        <f t="shared" si="106"/>
        <v>0</v>
      </c>
      <c r="AU82" s="29">
        <f t="shared" si="163"/>
        <v>0</v>
      </c>
      <c r="AV82" s="27">
        <f t="shared" si="133"/>
        <v>0</v>
      </c>
      <c r="AW82" s="27">
        <f t="shared" si="134"/>
        <v>0</v>
      </c>
      <c r="AX82" s="27">
        <f t="shared" si="135"/>
        <v>0</v>
      </c>
      <c r="AY82" s="27">
        <f t="shared" si="136"/>
        <v>0</v>
      </c>
      <c r="BH82" s="2">
        <f t="shared" si="137"/>
        <v>0</v>
      </c>
      <c r="BI82" s="298" t="str">
        <f t="shared" si="138"/>
        <v/>
      </c>
      <c r="BJ82" s="298" t="str">
        <f t="shared" si="107"/>
        <v/>
      </c>
      <c r="BQ82" s="4">
        <f t="shared" si="139"/>
        <v>45186</v>
      </c>
      <c r="BR82" s="112">
        <f t="shared" si="140"/>
        <v>0</v>
      </c>
      <c r="BS82" s="112">
        <f t="shared" si="141"/>
        <v>0</v>
      </c>
      <c r="BT82" s="112">
        <f t="shared" si="142"/>
        <v>0</v>
      </c>
      <c r="BU82" s="112">
        <f t="shared" si="143"/>
        <v>0</v>
      </c>
      <c r="BV82" s="112">
        <f t="shared" si="144"/>
        <v>0</v>
      </c>
      <c r="CI82" s="4">
        <f t="shared" si="145"/>
        <v>45186</v>
      </c>
      <c r="CJ82" s="50">
        <f ca="1">IF($BH82=0,IF($CO82="",CJ81+R82,IF('283'!$K$251=1,VLOOKUP($CO82,PerStBal,2)+R82,IF('283'!$K$253=1,(VLOOKUP($CO82,PerPortion,2)*VLOOKUP($CO82,PerStBal,6))+R82,GL!BS82))),0)</f>
        <v>0</v>
      </c>
      <c r="CK82" s="425">
        <f ca="1">IF($BH82=0,IF($CO82="",CK81+T82,IF('283'!$K$251=1,IF(mname2&lt;&gt;"",VLOOKUP($CO82,PerStBal,3)+T82,0),IF('283'!$K$253=1,(VLOOKUP($CO82,PerPortion,3)*VLOOKUP($CO82,PerStBal,6))+T82,GL!BT82))),0)</f>
        <v>0</v>
      </c>
      <c r="CL82" s="425">
        <f ca="1">IF($BH82=0,IF($CO82="",CL81+V82,IF('283'!$K$251=1,IF(mname3&lt;&gt;"",VLOOKUP($CO82,PerStBal,4)+V82,0),IF('283'!$K$253=1,(VLOOKUP($CO82,PerPortion,4)*VLOOKUP($CO82,PerStBal,6))+V82,GL!BU82))),0)</f>
        <v>0</v>
      </c>
      <c r="CM82" s="425">
        <f ca="1">IF($BH82=0,IF($CO82="",CM81+X82,IF('283'!$K$251=1,IF(mname4&lt;&gt;"",VLOOKUP($CO82,PerStBal,5)+X82,0),IF('283'!$K$253=1,(VLOOKUP($CO82,PerPortion,5)*VLOOKUP($CO82,PerStBal,6))+X82,GL!BV82))),0)</f>
        <v>0</v>
      </c>
      <c r="CN82" s="50">
        <f t="shared" ca="1" si="146"/>
        <v>0</v>
      </c>
      <c r="CO82" s="4" t="str">
        <f t="shared" ca="1" si="147"/>
        <v/>
      </c>
      <c r="CP82" s="377">
        <f t="shared" si="108"/>
        <v>0</v>
      </c>
      <c r="DI82" s="4">
        <f t="shared" si="148"/>
        <v>45186</v>
      </c>
      <c r="DJ82" s="112">
        <f t="shared" ca="1" si="149"/>
        <v>0</v>
      </c>
      <c r="DK82" s="112">
        <f t="shared" si="150"/>
        <v>0</v>
      </c>
      <c r="DL82" s="4">
        <f t="shared" si="151"/>
        <v>45186</v>
      </c>
      <c r="DM82" s="112">
        <f t="shared" ca="1" si="152"/>
        <v>0</v>
      </c>
      <c r="DN82" s="112">
        <f t="shared" si="153"/>
        <v>0</v>
      </c>
      <c r="DO82" s="4">
        <f t="shared" si="154"/>
        <v>45186</v>
      </c>
      <c r="DP82" s="112">
        <f t="shared" ca="1" si="155"/>
        <v>0</v>
      </c>
      <c r="DQ82" s="112">
        <f t="shared" si="156"/>
        <v>0</v>
      </c>
      <c r="DR82" s="4">
        <f t="shared" si="157"/>
        <v>45186</v>
      </c>
      <c r="DS82" s="112">
        <f t="shared" ca="1" si="158"/>
        <v>0</v>
      </c>
      <c r="DT82" s="112">
        <f t="shared" si="159"/>
        <v>0</v>
      </c>
      <c r="DU82" s="4">
        <f t="shared" si="160"/>
        <v>45186</v>
      </c>
      <c r="DV82" s="112">
        <f t="shared" si="161"/>
        <v>0</v>
      </c>
      <c r="DW82" s="112">
        <f t="shared" si="162"/>
        <v>0</v>
      </c>
    </row>
    <row r="83" spans="1:127" x14ac:dyDescent="0.25">
      <c r="B83" s="39" t="str">
        <f>IF(LEFT('283'!B190,1)="R","Benefits Paid","")</f>
        <v/>
      </c>
      <c r="C83" s="3" t="str">
        <f>IF(B83&lt;&gt;"",IF('283'!C190&lt;&gt;"",'283'!C190,""),"")</f>
        <v/>
      </c>
      <c r="D83" s="40" t="str">
        <f>IF($B83&lt;&gt;"",IF('283'!D190&lt;&gt;"",'283'!D190,""),"")</f>
        <v/>
      </c>
      <c r="E83" s="40" t="str">
        <f>IF($B83&lt;&gt;"",IF('283'!E190&lt;&gt;"",'283'!E190,""),"")</f>
        <v/>
      </c>
      <c r="F83" s="40" t="str">
        <f>IF($B83&lt;&gt;"",IF('283'!F190&lt;&gt;"",'283'!F190,""),"")</f>
        <v/>
      </c>
      <c r="G83" s="41" t="str">
        <f>IF($B83&lt;&gt;"",IF('283'!G190&lt;&gt;"",'283'!G190,""),"")</f>
        <v/>
      </c>
      <c r="H83" s="23">
        <v>79</v>
      </c>
      <c r="I83" s="42" t="str">
        <f>IF(AND(LEFT('283'!B190,1)&lt;&gt;"R",LEFT('283'!B190,1)&lt;&gt;""),'283'!B190,"")</f>
        <v/>
      </c>
      <c r="J83" s="3" t="str">
        <f>IF(I83&lt;&gt;"",IF('283'!C190&lt;&gt;"",'283'!C190,""),"")</f>
        <v/>
      </c>
      <c r="K83" s="40" t="str">
        <f>IF($I83&lt;&gt;"",IF('283'!D190&lt;&gt;"",IF(LEFT($I83,1)="N",-'283'!D190,'283'!D190),""),"")</f>
        <v/>
      </c>
      <c r="L83" s="40" t="str">
        <f>IF($I83&lt;&gt;"",IF('283'!E190&lt;&gt;"",IF(LEFT($I83,1)="N",-'283'!E190,'283'!E190),""),"")</f>
        <v/>
      </c>
      <c r="M83" s="40" t="str">
        <f>IF($I83&lt;&gt;"",IF('283'!F190&lt;&gt;"",IF(LEFT($I83,1)="N",-'283'!F190,'283'!F190),""),"")</f>
        <v/>
      </c>
      <c r="N83" s="40" t="str">
        <f>IF($I83&lt;&gt;"",IF('283'!G190&lt;&gt;"",IF(LEFT($I83,1)="N",-'283'!G190,'283'!G190),""),"")</f>
        <v/>
      </c>
      <c r="O83" s="43"/>
      <c r="P83" s="38"/>
      <c r="Q83" s="4">
        <f t="shared" si="109"/>
        <v>45187</v>
      </c>
      <c r="R83" s="24">
        <f t="shared" si="110"/>
        <v>0</v>
      </c>
      <c r="S83" s="25">
        <f t="shared" si="111"/>
        <v>0</v>
      </c>
      <c r="T83" s="24">
        <f t="shared" si="112"/>
        <v>0</v>
      </c>
      <c r="U83" s="25">
        <f t="shared" si="113"/>
        <v>0</v>
      </c>
      <c r="V83" s="24">
        <f t="shared" si="114"/>
        <v>0</v>
      </c>
      <c r="W83" s="25">
        <f t="shared" si="115"/>
        <v>0</v>
      </c>
      <c r="X83" s="24">
        <f t="shared" si="116"/>
        <v>0</v>
      </c>
      <c r="Y83" s="26">
        <f t="shared" si="117"/>
        <v>0</v>
      </c>
      <c r="Z83" s="27">
        <f t="shared" si="118"/>
        <v>0</v>
      </c>
      <c r="AA83" s="28">
        <f t="shared" si="119"/>
        <v>45187</v>
      </c>
      <c r="AB83" s="24">
        <f t="shared" si="120"/>
        <v>0</v>
      </c>
      <c r="AC83" s="25">
        <f t="shared" si="121"/>
        <v>0</v>
      </c>
      <c r="AD83" s="28">
        <f t="shared" si="122"/>
        <v>45187</v>
      </c>
      <c r="AE83" s="24">
        <f t="shared" si="123"/>
        <v>0</v>
      </c>
      <c r="AF83" s="25">
        <f t="shared" si="124"/>
        <v>0</v>
      </c>
      <c r="AG83" s="28">
        <f t="shared" si="125"/>
        <v>45187</v>
      </c>
      <c r="AH83" s="24">
        <f t="shared" si="126"/>
        <v>0</v>
      </c>
      <c r="AI83" s="25">
        <f t="shared" si="127"/>
        <v>0</v>
      </c>
      <c r="AJ83" s="28">
        <f t="shared" si="128"/>
        <v>45187</v>
      </c>
      <c r="AK83" s="24">
        <f t="shared" si="129"/>
        <v>0</v>
      </c>
      <c r="AL83" s="25">
        <f t="shared" si="130"/>
        <v>0</v>
      </c>
      <c r="AM83" s="29">
        <f t="shared" si="131"/>
        <v>0</v>
      </c>
      <c r="AN83" s="28">
        <f t="shared" si="132"/>
        <v>45187</v>
      </c>
      <c r="AO83" s="373">
        <f t="shared" si="101"/>
        <v>0</v>
      </c>
      <c r="AP83" s="374">
        <f t="shared" si="102"/>
        <v>0</v>
      </c>
      <c r="AQ83" s="27">
        <f t="shared" si="103"/>
        <v>0</v>
      </c>
      <c r="AR83" s="25">
        <f t="shared" si="104"/>
        <v>0</v>
      </c>
      <c r="AS83" s="25">
        <f t="shared" si="105"/>
        <v>0</v>
      </c>
      <c r="AT83" s="25">
        <f t="shared" si="106"/>
        <v>0</v>
      </c>
      <c r="AU83" s="29">
        <f t="shared" si="163"/>
        <v>0</v>
      </c>
      <c r="AV83" s="27">
        <f t="shared" si="133"/>
        <v>0</v>
      </c>
      <c r="AW83" s="27">
        <f t="shared" si="134"/>
        <v>0</v>
      </c>
      <c r="AX83" s="27">
        <f t="shared" si="135"/>
        <v>0</v>
      </c>
      <c r="AY83" s="27">
        <f t="shared" si="136"/>
        <v>0</v>
      </c>
      <c r="BH83" s="2">
        <f t="shared" si="137"/>
        <v>0</v>
      </c>
      <c r="BI83" s="298" t="str">
        <f t="shared" si="138"/>
        <v/>
      </c>
      <c r="BJ83" s="298" t="str">
        <f t="shared" si="107"/>
        <v/>
      </c>
      <c r="BQ83" s="4">
        <f t="shared" si="139"/>
        <v>45187</v>
      </c>
      <c r="BR83" s="112">
        <f t="shared" si="140"/>
        <v>0</v>
      </c>
      <c r="BS83" s="112">
        <f t="shared" si="141"/>
        <v>0</v>
      </c>
      <c r="BT83" s="112">
        <f t="shared" si="142"/>
        <v>0</v>
      </c>
      <c r="BU83" s="112">
        <f t="shared" si="143"/>
        <v>0</v>
      </c>
      <c r="BV83" s="112">
        <f t="shared" si="144"/>
        <v>0</v>
      </c>
      <c r="CI83" s="4">
        <f t="shared" si="145"/>
        <v>45187</v>
      </c>
      <c r="CJ83" s="50">
        <f ca="1">IF($BH83=0,IF($CO83="",CJ82+R83,IF('283'!$K$251=1,VLOOKUP($CO83,PerStBal,2)+R83,IF('283'!$K$253=1,(VLOOKUP($CO83,PerPortion,2)*VLOOKUP($CO83,PerStBal,6))+R83,GL!BS83))),0)</f>
        <v>0</v>
      </c>
      <c r="CK83" s="425">
        <f ca="1">IF($BH83=0,IF($CO83="",CK82+T83,IF('283'!$K$251=1,IF(mname2&lt;&gt;"",VLOOKUP($CO83,PerStBal,3)+T83,0),IF('283'!$K$253=1,(VLOOKUP($CO83,PerPortion,3)*VLOOKUP($CO83,PerStBal,6))+T83,GL!BT83))),0)</f>
        <v>0</v>
      </c>
      <c r="CL83" s="425">
        <f ca="1">IF($BH83=0,IF($CO83="",CL82+V83,IF('283'!$K$251=1,IF(mname3&lt;&gt;"",VLOOKUP($CO83,PerStBal,4)+V83,0),IF('283'!$K$253=1,(VLOOKUP($CO83,PerPortion,4)*VLOOKUP($CO83,PerStBal,6))+V83,GL!BU83))),0)</f>
        <v>0</v>
      </c>
      <c r="CM83" s="425">
        <f ca="1">IF($BH83=0,IF($CO83="",CM82+X83,IF('283'!$K$251=1,IF(mname4&lt;&gt;"",VLOOKUP($CO83,PerStBal,5)+X83,0),IF('283'!$K$253=1,(VLOOKUP($CO83,PerPortion,5)*VLOOKUP($CO83,PerStBal,6))+X83,GL!BV83))),0)</f>
        <v>0</v>
      </c>
      <c r="CN83" s="50">
        <f t="shared" ca="1" si="146"/>
        <v>0</v>
      </c>
      <c r="CO83" s="4" t="str">
        <f t="shared" ca="1" si="147"/>
        <v/>
      </c>
      <c r="CP83" s="377">
        <f t="shared" si="108"/>
        <v>0</v>
      </c>
      <c r="DI83" s="4">
        <f t="shared" si="148"/>
        <v>45187</v>
      </c>
      <c r="DJ83" s="112">
        <f t="shared" ca="1" si="149"/>
        <v>0</v>
      </c>
      <c r="DK83" s="112">
        <f t="shared" si="150"/>
        <v>0</v>
      </c>
      <c r="DL83" s="4">
        <f t="shared" si="151"/>
        <v>45187</v>
      </c>
      <c r="DM83" s="112">
        <f t="shared" ca="1" si="152"/>
        <v>0</v>
      </c>
      <c r="DN83" s="112">
        <f t="shared" si="153"/>
        <v>0</v>
      </c>
      <c r="DO83" s="4">
        <f t="shared" si="154"/>
        <v>45187</v>
      </c>
      <c r="DP83" s="112">
        <f t="shared" ca="1" si="155"/>
        <v>0</v>
      </c>
      <c r="DQ83" s="112">
        <f t="shared" si="156"/>
        <v>0</v>
      </c>
      <c r="DR83" s="4">
        <f t="shared" si="157"/>
        <v>45187</v>
      </c>
      <c r="DS83" s="112">
        <f t="shared" ca="1" si="158"/>
        <v>0</v>
      </c>
      <c r="DT83" s="112">
        <f t="shared" si="159"/>
        <v>0</v>
      </c>
      <c r="DU83" s="4">
        <f t="shared" si="160"/>
        <v>45187</v>
      </c>
      <c r="DV83" s="112">
        <f t="shared" si="161"/>
        <v>0</v>
      </c>
      <c r="DW83" s="112">
        <f t="shared" si="162"/>
        <v>0</v>
      </c>
    </row>
    <row r="84" spans="1:127" ht="15.75" thickBot="1" x14ac:dyDescent="0.3">
      <c r="B84" s="39" t="str">
        <f>IF(LEFT('283'!B191,1)="R","Benefits Paid","")</f>
        <v/>
      </c>
      <c r="C84" s="3" t="str">
        <f>IF(B84&lt;&gt;"",IF('283'!C191&lt;&gt;"",'283'!C191,""),"")</f>
        <v/>
      </c>
      <c r="D84" s="40" t="str">
        <f>IF($B84&lt;&gt;"",IF('283'!D191&lt;&gt;"",'283'!D191,""),"")</f>
        <v/>
      </c>
      <c r="E84" s="40" t="str">
        <f>IF($B84&lt;&gt;"",IF('283'!E191&lt;&gt;"",'283'!E191,""),"")</f>
        <v/>
      </c>
      <c r="F84" s="40" t="str">
        <f>IF($B84&lt;&gt;"",IF('283'!F191&lt;&gt;"",'283'!F191,""),"")</f>
        <v/>
      </c>
      <c r="G84" s="41" t="str">
        <f>IF($B84&lt;&gt;"",IF('283'!G191&lt;&gt;"",'283'!G191,""),"")</f>
        <v/>
      </c>
      <c r="H84" s="23" t="s">
        <v>104</v>
      </c>
      <c r="I84" s="42" t="str">
        <f>IF(AND(LEFT('283'!B191,1)&lt;&gt;"R",LEFT('283'!B191,1)&lt;&gt;""),'283'!B191,"")</f>
        <v/>
      </c>
      <c r="J84" s="61" t="str">
        <f>IF(I84&lt;&gt;"",IF('283'!C191&lt;&gt;"",'283'!C191,""),"")</f>
        <v/>
      </c>
      <c r="K84" s="40" t="str">
        <f>IF($I84&lt;&gt;"",IF('283'!D191&lt;&gt;"",IF(LEFT($I84,1)="N",-'283'!D191,'283'!D191),""),"")</f>
        <v/>
      </c>
      <c r="L84" s="40" t="str">
        <f>IF($I84&lt;&gt;"",IF('283'!E191&lt;&gt;"",IF(LEFT($I84,1)="N",-'283'!E191,'283'!E191),""),"")</f>
        <v/>
      </c>
      <c r="M84" s="40" t="str">
        <f>IF($I84&lt;&gt;"",IF('283'!F191&lt;&gt;"",IF(LEFT($I84,1)="N",-'283'!F191,'283'!F191),""),"")</f>
        <v/>
      </c>
      <c r="N84" s="40" t="str">
        <f>IF($I84&lt;&gt;"",IF('283'!G191&lt;&gt;"",IF(LEFT($I84,1)="N",-'283'!G191,'283'!G191),""),"")</f>
        <v/>
      </c>
      <c r="O84" s="43"/>
      <c r="P84" s="44" t="s">
        <v>105</v>
      </c>
      <c r="Q84" s="4">
        <f t="shared" si="109"/>
        <v>45188</v>
      </c>
      <c r="R84" s="24">
        <f t="shared" si="110"/>
        <v>0</v>
      </c>
      <c r="S84" s="25">
        <f t="shared" si="111"/>
        <v>0</v>
      </c>
      <c r="T84" s="24">
        <f t="shared" si="112"/>
        <v>0</v>
      </c>
      <c r="U84" s="25">
        <f t="shared" si="113"/>
        <v>0</v>
      </c>
      <c r="V84" s="24">
        <f t="shared" si="114"/>
        <v>0</v>
      </c>
      <c r="W84" s="25">
        <f t="shared" si="115"/>
        <v>0</v>
      </c>
      <c r="X84" s="24">
        <f t="shared" si="116"/>
        <v>0</v>
      </c>
      <c r="Y84" s="26">
        <f t="shared" si="117"/>
        <v>0</v>
      </c>
      <c r="Z84" s="27">
        <f t="shared" si="118"/>
        <v>0</v>
      </c>
      <c r="AA84" s="28">
        <f t="shared" si="119"/>
        <v>45188</v>
      </c>
      <c r="AB84" s="24">
        <f t="shared" si="120"/>
        <v>0</v>
      </c>
      <c r="AC84" s="25">
        <f t="shared" si="121"/>
        <v>0</v>
      </c>
      <c r="AD84" s="28">
        <f t="shared" si="122"/>
        <v>45188</v>
      </c>
      <c r="AE84" s="24">
        <f t="shared" si="123"/>
        <v>0</v>
      </c>
      <c r="AF84" s="25">
        <f t="shared" si="124"/>
        <v>0</v>
      </c>
      <c r="AG84" s="28">
        <f t="shared" si="125"/>
        <v>45188</v>
      </c>
      <c r="AH84" s="24">
        <f t="shared" si="126"/>
        <v>0</v>
      </c>
      <c r="AI84" s="25">
        <f t="shared" si="127"/>
        <v>0</v>
      </c>
      <c r="AJ84" s="28">
        <f t="shared" si="128"/>
        <v>45188</v>
      </c>
      <c r="AK84" s="24">
        <f t="shared" si="129"/>
        <v>0</v>
      </c>
      <c r="AL84" s="25">
        <f t="shared" si="130"/>
        <v>0</v>
      </c>
      <c r="AM84" s="29">
        <f t="shared" si="131"/>
        <v>0</v>
      </c>
      <c r="AN84" s="28">
        <f t="shared" si="132"/>
        <v>45188</v>
      </c>
      <c r="AO84" s="373">
        <f t="shared" si="101"/>
        <v>0</v>
      </c>
      <c r="AP84" s="374">
        <f t="shared" si="102"/>
        <v>0</v>
      </c>
      <c r="AQ84" s="27">
        <f t="shared" si="103"/>
        <v>0</v>
      </c>
      <c r="AR84" s="25">
        <f t="shared" si="104"/>
        <v>0</v>
      </c>
      <c r="AS84" s="25">
        <f t="shared" si="105"/>
        <v>0</v>
      </c>
      <c r="AT84" s="25">
        <f t="shared" si="106"/>
        <v>0</v>
      </c>
      <c r="AU84" s="29">
        <f t="shared" si="163"/>
        <v>0</v>
      </c>
      <c r="AV84" s="27">
        <f t="shared" si="133"/>
        <v>0</v>
      </c>
      <c r="AW84" s="27">
        <f t="shared" si="134"/>
        <v>0</v>
      </c>
      <c r="AX84" s="27">
        <f t="shared" si="135"/>
        <v>0</v>
      </c>
      <c r="AY84" s="27">
        <f t="shared" si="136"/>
        <v>0</v>
      </c>
      <c r="BH84" s="2">
        <f t="shared" si="137"/>
        <v>0</v>
      </c>
      <c r="BI84" s="298" t="str">
        <f t="shared" si="138"/>
        <v/>
      </c>
      <c r="BJ84" s="298" t="str">
        <f t="shared" si="107"/>
        <v/>
      </c>
      <c r="BQ84" s="4">
        <f t="shared" si="139"/>
        <v>45188</v>
      </c>
      <c r="BR84" s="112">
        <f t="shared" si="140"/>
        <v>0</v>
      </c>
      <c r="BS84" s="112">
        <f t="shared" si="141"/>
        <v>0</v>
      </c>
      <c r="BT84" s="112">
        <f t="shared" si="142"/>
        <v>0</v>
      </c>
      <c r="BU84" s="112">
        <f t="shared" si="143"/>
        <v>0</v>
      </c>
      <c r="BV84" s="112">
        <f t="shared" si="144"/>
        <v>0</v>
      </c>
      <c r="CI84" s="4">
        <f t="shared" si="145"/>
        <v>45188</v>
      </c>
      <c r="CJ84" s="50">
        <f ca="1">IF($BH84=0,IF($CO84="",CJ83+R84,IF('283'!$K$251=1,VLOOKUP($CO84,PerStBal,2)+R84,IF('283'!$K$253=1,(VLOOKUP($CO84,PerPortion,2)*VLOOKUP($CO84,PerStBal,6))+R84,GL!BS84))),0)</f>
        <v>0</v>
      </c>
      <c r="CK84" s="425">
        <f ca="1">IF($BH84=0,IF($CO84="",CK83+T84,IF('283'!$K$251=1,IF(mname2&lt;&gt;"",VLOOKUP($CO84,PerStBal,3)+T84,0),IF('283'!$K$253=1,(VLOOKUP($CO84,PerPortion,3)*VLOOKUP($CO84,PerStBal,6))+T84,GL!BT84))),0)</f>
        <v>0</v>
      </c>
      <c r="CL84" s="425">
        <f ca="1">IF($BH84=0,IF($CO84="",CL83+V84,IF('283'!$K$251=1,IF(mname3&lt;&gt;"",VLOOKUP($CO84,PerStBal,4)+V84,0),IF('283'!$K$253=1,(VLOOKUP($CO84,PerPortion,4)*VLOOKUP($CO84,PerStBal,6))+V84,GL!BU84))),0)</f>
        <v>0</v>
      </c>
      <c r="CM84" s="425">
        <f ca="1">IF($BH84=0,IF($CO84="",CM83+X84,IF('283'!$K$251=1,IF(mname4&lt;&gt;"",VLOOKUP($CO84,PerStBal,5)+X84,0),IF('283'!$K$253=1,(VLOOKUP($CO84,PerPortion,5)*VLOOKUP($CO84,PerStBal,6))+X84,GL!BV84))),0)</f>
        <v>0</v>
      </c>
      <c r="CN84" s="50">
        <f t="shared" ca="1" si="146"/>
        <v>0</v>
      </c>
      <c r="CO84" s="4" t="str">
        <f t="shared" ca="1" si="147"/>
        <v/>
      </c>
      <c r="CP84" s="377">
        <f t="shared" si="108"/>
        <v>0</v>
      </c>
      <c r="DI84" s="4">
        <f t="shared" si="148"/>
        <v>45188</v>
      </c>
      <c r="DJ84" s="112">
        <f t="shared" ca="1" si="149"/>
        <v>0</v>
      </c>
      <c r="DK84" s="112">
        <f t="shared" si="150"/>
        <v>0</v>
      </c>
      <c r="DL84" s="4">
        <f t="shared" si="151"/>
        <v>45188</v>
      </c>
      <c r="DM84" s="112">
        <f t="shared" ca="1" si="152"/>
        <v>0</v>
      </c>
      <c r="DN84" s="112">
        <f t="shared" si="153"/>
        <v>0</v>
      </c>
      <c r="DO84" s="4">
        <f t="shared" si="154"/>
        <v>45188</v>
      </c>
      <c r="DP84" s="112">
        <f t="shared" ca="1" si="155"/>
        <v>0</v>
      </c>
      <c r="DQ84" s="112">
        <f t="shared" si="156"/>
        <v>0</v>
      </c>
      <c r="DR84" s="4">
        <f t="shared" si="157"/>
        <v>45188</v>
      </c>
      <c r="DS84" s="112">
        <f t="shared" ca="1" si="158"/>
        <v>0</v>
      </c>
      <c r="DT84" s="112">
        <f t="shared" si="159"/>
        <v>0</v>
      </c>
      <c r="DU84" s="4">
        <f t="shared" si="160"/>
        <v>45188</v>
      </c>
      <c r="DV84" s="112">
        <f t="shared" si="161"/>
        <v>0</v>
      </c>
      <c r="DW84" s="112">
        <f t="shared" si="162"/>
        <v>0</v>
      </c>
    </row>
    <row r="85" spans="1:127" ht="16.5" thickTop="1" thickBot="1" x14ac:dyDescent="0.3">
      <c r="A85" s="5" t="str">
        <f>'283'!S62</f>
        <v/>
      </c>
      <c r="B85" s="45" t="str">
        <f>IF(MID('283'!$E62,6,1)="R","Commutation",IF(MID('283'!$F62,6,1)="R","New Pension",IF(OR(LEFT('283'!$E62,1)="R",LEFT('283'!$F62,1)="R"),"Reserve Allocation","")))</f>
        <v/>
      </c>
      <c r="C85" s="163" t="str">
        <f>IF(B85&lt;&gt;"",'283'!D62,"")</f>
        <v/>
      </c>
      <c r="D85" s="166" t="str">
        <f ca="1">IF($H85="1 R",IF($C85=YearStart,-$A85*m1pens,-$A85*(VLOOKUP($C85-1,$AA$4:$AM$369,2)-SUMIF($C$5:$C$84,$C85,$D5:$D84))),IF($P85="1 R",IF(RIGHT($H85,1)="N",-OFFSET($J85,0,LEFT($H85,1)),-OFFSET($C85,0,LEFT($H85,1))),""))</f>
        <v/>
      </c>
      <c r="E85" s="167" t="str">
        <f t="shared" ref="E85:E94" ca="1" si="164">IF($H85="2 R",IF($C85=YearStart,-$A85*m2pens,-$A85*(VLOOKUP($C85-1,$AA$4:$AM$369,5)-SUMIF($C$5:$C$84,$C85,$E$5:$E$84))),IF($P85="2 R",IF(RIGHT($H85,1)="N",-OFFSET($J85,0,LEFT($H85,1)),-OFFSET($C85,0,LEFT($H85,1))),""))</f>
        <v/>
      </c>
      <c r="F85" s="167" t="str">
        <f t="shared" ref="F85:F94" ca="1" si="165">IF($H85="3 R",IF(C85=YearStart,-$A85*m3pens,-$A85*(VLOOKUP($C85-1,$AA$4:$AM$369,8)-SUMIF($C$5:$C$84,$C85,$F$5:$F$84))),IF($P85="3 R",IF(RIGHT($H85,1)="N",-OFFSET($J85,0,LEFT($H85,1)),-OFFSET($C85,0,LEFT($H85,1))),""))</f>
        <v/>
      </c>
      <c r="G85" s="168" t="str">
        <f t="shared" ref="G85:G94" ca="1" si="166">IF($H85="4 R",IF($C85=YearStart,-$A85*m4pens,-$A85*(VLOOKUP($C85-1,$AA$4:$AM$369,11)-SUMIF($C$5:$C$84,$C85,$G$5:$G$84))),IF($P85="4 R",IF(RIGHT($H85,1)="N",-OFFSET($J85,0,LEFT($H85,1)),-OFFSET($C85,0,LEFT($H85,1))),""))</f>
        <v/>
      </c>
      <c r="H85" s="23" t="str">
        <f>IF('283'!E62&lt;&gt;"",IF(ISERROR(VALUE(LEFT(MID('283'!E62,4,3),1))),"5 N",MID('283'!E62,4,3)),"")</f>
        <v/>
      </c>
      <c r="I85" s="125" t="str">
        <f>IF(MID('283'!$E62,6,1)="R","Commutation",IF(MID('283'!$F62,6,1)="R","New Pension",IF(OR(LEFT('283'!$E62,1)="R",LEFT('283'!$F62,1)="R"),"Reserve Allocation",IF(AND(MID('283'!E62,6,1)="N",MID('283'!F62,6,1)="N"),"Accum Trans",""))))</f>
        <v/>
      </c>
      <c r="J85" s="152" t="str">
        <f>IF(I85&lt;&gt;"",'283'!D62,"")</f>
        <v/>
      </c>
      <c r="K85" s="155" t="str">
        <f ca="1">IF($H85="1 N",IF($J85=YearStart,-$A85*(m1accum+SUMIF($J$5:$J$84,$J85,$K$5:$K$84)),-$A85*(VLOOKUP($J85-1,$AA$4:$AM$369,3)+SUMIF($J$5:$J$84,$J85,$K$5:$K$84)+SUMIF($J86:$J94,$J85,K86:K94))),IF($P85="1 N",IF(RIGHT($H85,1)="N",-OFFSET($J85,0,LEFT($H85,1)),-OFFSET($C85,0,LEFT($H85,1))),""))</f>
        <v/>
      </c>
      <c r="L85" s="156" t="str">
        <f ca="1">IF($H85="2 N",IF($J85=YearStart,-$A85*(m2accum+SUMIF($J$5:$J$84,$J85,$L$5:$L$84)),-$A85*(VLOOKUP($J85-1,$AA$4:$AM$369,6)+SUMIF($J$5:$J$84,$J85,$L$5:$L$84)+SUMIF($J86:$J94,$J85,L86:L94))),IF($P85="2 N",IF(RIGHT($H85,1)="N",-OFFSET($J85,0,LEFT($H85,1)),-OFFSET($C85,0,LEFT($H85,1))),""))</f>
        <v/>
      </c>
      <c r="M85" s="156" t="str">
        <f ca="1">IF($H85="3 N",IF($J85=YearStart,-$A85*(m3accum+SUMIF($J$5:$J$84,$J85,$M$5:$M$84)),-$A85*(VLOOKUP($J85-1,$AA$4:$AM$369,9)+SUMIF($J$5:$J$84,$J85,$M$5:$M$84)+SUMIF($J86:$J94,$J85,M86:M94))),IF($P85="3 N",IF(RIGHT($H85,1)="N",-OFFSET($J85,0,LEFT($H85,1)),-OFFSET($C85,0,LEFT($H85,1))),""))</f>
        <v/>
      </c>
      <c r="N85" s="156" t="str">
        <f ca="1">IF($H85="4 N",IF($J85=YearStart,-$A85*(m4accum+SUMIF($J$5:$J$84,$J85,$N$5:$N$84)),-$A85*(VLOOKUP($J85-1,$AA$4:$AM$369,12)+SUMIF($J$5:$J$84,$J85,$N$5:$N$84)+SUMIF($J86:$J94,$J85,N86:N94))),IF($P85="4 N",IF(RIGHT($H85,1)="N",-OFFSET($J85,0,LEFT($H85,1)),-OFFSET($C85,0,LEFT($H85,1))),""))</f>
        <v/>
      </c>
      <c r="O85" s="157" t="str">
        <f ca="1">IF($H85="5 N",IF($J85=YearStart,-$A85*res,-$A85*(VLOOKUP($J85-1,$AA$4:$AM$369,13)+SUMIF($J$5:$J$84,$J85,$O$5:$O$84)+SUMIF($J86:$J94,$J85,O86:O94))),IF($P85="5 N",IF(RIGHT($H85,1)="N",-OFFSET($J85,0,LEFT($H85,1)),-OFFSET($C85,0,LEFT($H85,1))),""))</f>
        <v/>
      </c>
      <c r="P85" s="23" t="str">
        <f>IF('283'!F62&lt;&gt;"",IF(ISERROR(VALUE(LEFT(MID('283'!F62,4,3),1))),"5 N",MID('283'!F62,4,3)),"")</f>
        <v/>
      </c>
      <c r="Q85" s="4">
        <f t="shared" si="109"/>
        <v>45189</v>
      </c>
      <c r="R85" s="24">
        <f t="shared" si="110"/>
        <v>0</v>
      </c>
      <c r="S85" s="25">
        <f t="shared" si="111"/>
        <v>0</v>
      </c>
      <c r="T85" s="24">
        <f t="shared" si="112"/>
        <v>0</v>
      </c>
      <c r="U85" s="25">
        <f t="shared" si="113"/>
        <v>0</v>
      </c>
      <c r="V85" s="24">
        <f t="shared" si="114"/>
        <v>0</v>
      </c>
      <c r="W85" s="25">
        <f t="shared" si="115"/>
        <v>0</v>
      </c>
      <c r="X85" s="24">
        <f t="shared" si="116"/>
        <v>0</v>
      </c>
      <c r="Y85" s="26">
        <f t="shared" si="117"/>
        <v>0</v>
      </c>
      <c r="Z85" s="27">
        <f t="shared" si="118"/>
        <v>0</v>
      </c>
      <c r="AA85" s="28">
        <f t="shared" si="119"/>
        <v>45189</v>
      </c>
      <c r="AB85" s="24">
        <f t="shared" si="120"/>
        <v>0</v>
      </c>
      <c r="AC85" s="25">
        <f t="shared" si="121"/>
        <v>0</v>
      </c>
      <c r="AD85" s="28">
        <f t="shared" si="122"/>
        <v>45189</v>
      </c>
      <c r="AE85" s="24">
        <f t="shared" si="123"/>
        <v>0</v>
      </c>
      <c r="AF85" s="25">
        <f t="shared" si="124"/>
        <v>0</v>
      </c>
      <c r="AG85" s="28">
        <f t="shared" si="125"/>
        <v>45189</v>
      </c>
      <c r="AH85" s="24">
        <f t="shared" si="126"/>
        <v>0</v>
      </c>
      <c r="AI85" s="25">
        <f t="shared" si="127"/>
        <v>0</v>
      </c>
      <c r="AJ85" s="28">
        <f t="shared" si="128"/>
        <v>45189</v>
      </c>
      <c r="AK85" s="24">
        <f t="shared" si="129"/>
        <v>0</v>
      </c>
      <c r="AL85" s="25">
        <f t="shared" si="130"/>
        <v>0</v>
      </c>
      <c r="AM85" s="29">
        <f t="shared" si="131"/>
        <v>0</v>
      </c>
      <c r="AN85" s="28">
        <f t="shared" si="132"/>
        <v>45189</v>
      </c>
      <c r="AO85" s="373">
        <f t="shared" si="101"/>
        <v>0</v>
      </c>
      <c r="AP85" s="374">
        <f t="shared" si="102"/>
        <v>0</v>
      </c>
      <c r="AQ85" s="27">
        <f t="shared" si="103"/>
        <v>0</v>
      </c>
      <c r="AR85" s="25">
        <f t="shared" si="104"/>
        <v>0</v>
      </c>
      <c r="AS85" s="25">
        <f t="shared" si="105"/>
        <v>0</v>
      </c>
      <c r="AT85" s="25">
        <f t="shared" si="106"/>
        <v>0</v>
      </c>
      <c r="AU85" s="29">
        <f t="shared" si="163"/>
        <v>0</v>
      </c>
      <c r="AV85" s="27">
        <f t="shared" si="133"/>
        <v>0</v>
      </c>
      <c r="AW85" s="27">
        <f t="shared" si="134"/>
        <v>0</v>
      </c>
      <c r="AX85" s="27">
        <f t="shared" si="135"/>
        <v>0</v>
      </c>
      <c r="AY85" s="27">
        <f t="shared" si="136"/>
        <v>0</v>
      </c>
      <c r="BH85" s="2">
        <f t="shared" si="137"/>
        <v>0</v>
      </c>
      <c r="BI85" s="298" t="str">
        <f t="shared" si="138"/>
        <v/>
      </c>
      <c r="BJ85" s="298" t="str">
        <f t="shared" si="107"/>
        <v/>
      </c>
      <c r="BQ85" s="4">
        <f t="shared" si="139"/>
        <v>45189</v>
      </c>
      <c r="BR85" s="112">
        <f t="shared" si="140"/>
        <v>0</v>
      </c>
      <c r="BS85" s="112">
        <f t="shared" si="141"/>
        <v>0</v>
      </c>
      <c r="BT85" s="112">
        <f t="shared" si="142"/>
        <v>0</v>
      </c>
      <c r="BU85" s="112">
        <f t="shared" si="143"/>
        <v>0</v>
      </c>
      <c r="BV85" s="112">
        <f t="shared" si="144"/>
        <v>0</v>
      </c>
      <c r="CI85" s="4">
        <f t="shared" si="145"/>
        <v>45189</v>
      </c>
      <c r="CJ85" s="50">
        <f ca="1">IF($BH85=0,IF($CO85="",CJ84+R85,IF('283'!$K$251=1,VLOOKUP($CO85,PerStBal,2)+R85,IF('283'!$K$253=1,(VLOOKUP($CO85,PerPortion,2)*VLOOKUP($CO85,PerStBal,6))+R85,GL!BS85))),0)</f>
        <v>0</v>
      </c>
      <c r="CK85" s="425">
        <f ca="1">IF($BH85=0,IF($CO85="",CK84+T85,IF('283'!$K$251=1,IF(mname2&lt;&gt;"",VLOOKUP($CO85,PerStBal,3)+T85,0),IF('283'!$K$253=1,(VLOOKUP($CO85,PerPortion,3)*VLOOKUP($CO85,PerStBal,6))+T85,GL!BT85))),0)</f>
        <v>0</v>
      </c>
      <c r="CL85" s="425">
        <f ca="1">IF($BH85=0,IF($CO85="",CL84+V85,IF('283'!$K$251=1,IF(mname3&lt;&gt;"",VLOOKUP($CO85,PerStBal,4)+V85,0),IF('283'!$K$253=1,(VLOOKUP($CO85,PerPortion,4)*VLOOKUP($CO85,PerStBal,6))+V85,GL!BU85))),0)</f>
        <v>0</v>
      </c>
      <c r="CM85" s="425">
        <f ca="1">IF($BH85=0,IF($CO85="",CM84+X85,IF('283'!$K$251=1,IF(mname4&lt;&gt;"",VLOOKUP($CO85,PerStBal,5)+X85,0),IF('283'!$K$253=1,(VLOOKUP($CO85,PerPortion,5)*VLOOKUP($CO85,PerStBal,6))+X85,GL!BV85))),0)</f>
        <v>0</v>
      </c>
      <c r="CN85" s="50">
        <f t="shared" ca="1" si="146"/>
        <v>0</v>
      </c>
      <c r="CO85" s="4" t="str">
        <f t="shared" ca="1" si="147"/>
        <v/>
      </c>
      <c r="CP85" s="377">
        <f t="shared" si="108"/>
        <v>0</v>
      </c>
      <c r="DI85" s="4">
        <f t="shared" si="148"/>
        <v>45189</v>
      </c>
      <c r="DJ85" s="112">
        <f t="shared" ca="1" si="149"/>
        <v>0</v>
      </c>
      <c r="DK85" s="112">
        <f t="shared" si="150"/>
        <v>0</v>
      </c>
      <c r="DL85" s="4">
        <f t="shared" si="151"/>
        <v>45189</v>
      </c>
      <c r="DM85" s="112">
        <f t="shared" ca="1" si="152"/>
        <v>0</v>
      </c>
      <c r="DN85" s="112">
        <f t="shared" si="153"/>
        <v>0</v>
      </c>
      <c r="DO85" s="4">
        <f t="shared" si="154"/>
        <v>45189</v>
      </c>
      <c r="DP85" s="112">
        <f t="shared" ca="1" si="155"/>
        <v>0</v>
      </c>
      <c r="DQ85" s="112">
        <f t="shared" si="156"/>
        <v>0</v>
      </c>
      <c r="DR85" s="4">
        <f t="shared" si="157"/>
        <v>45189</v>
      </c>
      <c r="DS85" s="112">
        <f t="shared" ca="1" si="158"/>
        <v>0</v>
      </c>
      <c r="DT85" s="112">
        <f t="shared" si="159"/>
        <v>0</v>
      </c>
      <c r="DU85" s="4">
        <f t="shared" si="160"/>
        <v>45189</v>
      </c>
      <c r="DV85" s="112">
        <f t="shared" si="161"/>
        <v>0</v>
      </c>
      <c r="DW85" s="112">
        <f t="shared" si="162"/>
        <v>0</v>
      </c>
    </row>
    <row r="86" spans="1:127" ht="16.5" thickTop="1" thickBot="1" x14ac:dyDescent="0.3">
      <c r="A86" s="5" t="str">
        <f>'283'!S63</f>
        <v/>
      </c>
      <c r="B86" s="45" t="str">
        <f>IF(MID('283'!$E63,6,1)="R","Commutation",IF(MID('283'!$F63,6,1)="R","New Pension",IF(OR(LEFT('283'!$E63,1)="R",LEFT('283'!$F63,1)="R"),"Reserve Allocation","")))</f>
        <v/>
      </c>
      <c r="C86" s="164" t="str">
        <f>IF(B86&lt;&gt;"",'283'!D63,"")</f>
        <v/>
      </c>
      <c r="D86" s="169" t="str">
        <f ca="1">IF($H86="1 R",IF($C86=YearStart,-$A86*m1pens,-$A86*(VLOOKUP($C86-1,$AA$4:$AM$369,2)-SUMIF($C$5:$C$84,$C86,$D5:$D84))),IF($P86="1 R",IF(RIGHT($H86,1)="N",-OFFSET($J86,0,LEFT($H86,1)),-OFFSET($C86,0,LEFT($H86,1))),""))</f>
        <v/>
      </c>
      <c r="E86" s="47" t="str">
        <f t="shared" ca="1" si="164"/>
        <v/>
      </c>
      <c r="F86" s="47" t="str">
        <f t="shared" ca="1" si="165"/>
        <v/>
      </c>
      <c r="G86" s="170" t="str">
        <f t="shared" ca="1" si="166"/>
        <v/>
      </c>
      <c r="H86" s="23" t="str">
        <f>IF('283'!E63&lt;&gt;"",IF(ISERROR(VALUE(LEFT(MID('283'!E63,4,3),1))),"5 N",MID('283'!E63,4,3)),"")</f>
        <v/>
      </c>
      <c r="I86" s="125" t="str">
        <f>IF(MID('283'!$E63,6,1)="R","Commutation",IF(MID('283'!$F63,6,1)="R","New Pension",IF(OR(LEFT('283'!$E63,1)="R",LEFT('283'!$F63,1)="R"),"Reserve Allocation",IF(AND(MID('283'!E63,6,1)="N",MID('283'!F63,6,1)="N"),"Accum Trans",""))))</f>
        <v/>
      </c>
      <c r="J86" s="153" t="str">
        <f>IF(I86&lt;&gt;"",'283'!D63,"")</f>
        <v/>
      </c>
      <c r="K86" s="158" t="str">
        <f ca="1">IF($H86="1 N",IF($J86=YearStart,-$A86*(m1accum+SUMIF($J$5:$J$84,$J86,$K$5:$K$84)),-$A86*(VLOOKUP($J86-1,$AA$4:$AM$369,3)+SUMIF($J$5:$J$84,$J86,$K$5:$K$84)+SUMIF($J87:$J94,$J86,K87:K94)+SUMIF(J85,J86,K85))),IF($P86="1 N",IF(RIGHT($H86,1)="N",-OFFSET($J86,0,LEFT($H86,1)),-OFFSET($C86,0,LEFT($H86,1))),""))</f>
        <v/>
      </c>
      <c r="L86" s="46" t="str">
        <f ca="1">IF($H86="2 N",IF($J86=YearStart,-$A86*(m2accum+SUMIF($J$5:$J$84,$J86,$L$5:$L$84)),-$A86*(VLOOKUP($J86-1,$AA$4:$AM$369,6)+SUMIF($J$5:$J$84,$J86,$L$5:$L$84)+SUMIF($J87:$J94,$J86,L87:L94)+SUMIF(J85,J86,L85))),IF($P86="2 N",IF(RIGHT($H86,1)="N",-OFFSET($J86,0,LEFT($H86,1)),-OFFSET($C86,0,LEFT($H86,1))),""))</f>
        <v/>
      </c>
      <c r="M86" s="46" t="str">
        <f ca="1">IF($H86="3 N",IF($J86=YearStart,-$A86*(m3accum+SUMIF($J$5:$J$84,$J86,$M$5:$M$84)),-$A86*(VLOOKUP($J86-1,$AA$4:$AM$369,9)+SUMIF($J$5:$J$84,$J86,$M$5:$M$84)+SUMIF($J87:$J94,$J86,M87:M94)+SUMIF(J85,J86,M85))),IF($P86="3 N",IF(RIGHT($H86,1)="N",-OFFSET($J86,0,LEFT($H86,1)),-OFFSET($C86,0,LEFT($H86,1))),""))</f>
        <v/>
      </c>
      <c r="N86" s="46" t="str">
        <f ca="1">IF($H86="4 N",IF($J86=YearStart,-$A86*(m4accum+SUMIF($J$5:$J$84,$J86,$N$5:$N$84)),-$A86*(VLOOKUP($J86-1,$AA$4:$AM$369,12)+SUMIF($J$5:$J$84,$J86,$N$5:$N$84)+SUMIF($J87:$J94,$J86,N87:N94)+SUMIF(J85,J86,N85))),IF($P86="4 N",IF(RIGHT($H86,1)="N",-OFFSET($J86,0,LEFT($H86,1)),-OFFSET($C86,0,LEFT($H86,1))),""))</f>
        <v/>
      </c>
      <c r="O86" s="159" t="str">
        <f ca="1">IF($H86="5 N",IF($J86=YearStart,-$A86*res,-$A86*(VLOOKUP($J86-1,$AA$4:$AM$369,13)+SUMIF($J$5:$J$84,$J86,$O$5:$O$84)+SUMIF($J85,$J86,O85)+SUMIF($J87:$J94,$J86,O87:O94))),IF($P86="5 N",IF(RIGHT($H86,1)="N",-OFFSET($J86,0,LEFT($H86,1)),-OFFSET($C86,0,LEFT($H86,1))),""))</f>
        <v/>
      </c>
      <c r="P86" s="23" t="str">
        <f>IF('283'!F63&lt;&gt;"",IF(ISERROR(VALUE(LEFT(MID('283'!F63,4,3),1))),"5 N",MID('283'!F63,4,3)),"")</f>
        <v/>
      </c>
      <c r="Q86" s="4">
        <f t="shared" si="109"/>
        <v>45190</v>
      </c>
      <c r="R86" s="24">
        <f t="shared" si="110"/>
        <v>0</v>
      </c>
      <c r="S86" s="25">
        <f t="shared" si="111"/>
        <v>0</v>
      </c>
      <c r="T86" s="24">
        <f t="shared" si="112"/>
        <v>0</v>
      </c>
      <c r="U86" s="25">
        <f t="shared" si="113"/>
        <v>0</v>
      </c>
      <c r="V86" s="24">
        <f t="shared" si="114"/>
        <v>0</v>
      </c>
      <c r="W86" s="25">
        <f t="shared" si="115"/>
        <v>0</v>
      </c>
      <c r="X86" s="24">
        <f t="shared" si="116"/>
        <v>0</v>
      </c>
      <c r="Y86" s="26">
        <f t="shared" si="117"/>
        <v>0</v>
      </c>
      <c r="Z86" s="27">
        <f t="shared" si="118"/>
        <v>0</v>
      </c>
      <c r="AA86" s="28">
        <f t="shared" si="119"/>
        <v>45190</v>
      </c>
      <c r="AB86" s="24">
        <f t="shared" si="120"/>
        <v>0</v>
      </c>
      <c r="AC86" s="25">
        <f t="shared" si="121"/>
        <v>0</v>
      </c>
      <c r="AD86" s="28">
        <f t="shared" si="122"/>
        <v>45190</v>
      </c>
      <c r="AE86" s="24">
        <f t="shared" si="123"/>
        <v>0</v>
      </c>
      <c r="AF86" s="25">
        <f t="shared" si="124"/>
        <v>0</v>
      </c>
      <c r="AG86" s="28">
        <f t="shared" si="125"/>
        <v>45190</v>
      </c>
      <c r="AH86" s="24">
        <f t="shared" si="126"/>
        <v>0</v>
      </c>
      <c r="AI86" s="25">
        <f t="shared" si="127"/>
        <v>0</v>
      </c>
      <c r="AJ86" s="28">
        <f t="shared" si="128"/>
        <v>45190</v>
      </c>
      <c r="AK86" s="24">
        <f t="shared" si="129"/>
        <v>0</v>
      </c>
      <c r="AL86" s="25">
        <f t="shared" si="130"/>
        <v>0</v>
      </c>
      <c r="AM86" s="29">
        <f t="shared" si="131"/>
        <v>0</v>
      </c>
      <c r="AN86" s="28">
        <f t="shared" si="132"/>
        <v>45190</v>
      </c>
      <c r="AO86" s="373">
        <f t="shared" si="101"/>
        <v>0</v>
      </c>
      <c r="AP86" s="374">
        <f t="shared" si="102"/>
        <v>0</v>
      </c>
      <c r="AQ86" s="27">
        <f t="shared" si="103"/>
        <v>0</v>
      </c>
      <c r="AR86" s="25">
        <f t="shared" si="104"/>
        <v>0</v>
      </c>
      <c r="AS86" s="25">
        <f t="shared" si="105"/>
        <v>0</v>
      </c>
      <c r="AT86" s="25">
        <f t="shared" si="106"/>
        <v>0</v>
      </c>
      <c r="AU86" s="29">
        <f t="shared" si="163"/>
        <v>0</v>
      </c>
      <c r="AV86" s="27">
        <f t="shared" si="133"/>
        <v>0</v>
      </c>
      <c r="AW86" s="27">
        <f t="shared" si="134"/>
        <v>0</v>
      </c>
      <c r="AX86" s="27">
        <f t="shared" si="135"/>
        <v>0</v>
      </c>
      <c r="AY86" s="27">
        <f t="shared" si="136"/>
        <v>0</v>
      </c>
      <c r="BH86" s="2">
        <f t="shared" si="137"/>
        <v>0</v>
      </c>
      <c r="BI86" s="298" t="str">
        <f t="shared" si="138"/>
        <v/>
      </c>
      <c r="BJ86" s="298" t="str">
        <f t="shared" si="107"/>
        <v/>
      </c>
      <c r="BQ86" s="4">
        <f t="shared" si="139"/>
        <v>45190</v>
      </c>
      <c r="BR86" s="112">
        <f t="shared" si="140"/>
        <v>0</v>
      </c>
      <c r="BS86" s="112">
        <f t="shared" si="141"/>
        <v>0</v>
      </c>
      <c r="BT86" s="112">
        <f t="shared" si="142"/>
        <v>0</v>
      </c>
      <c r="BU86" s="112">
        <f t="shared" si="143"/>
        <v>0</v>
      </c>
      <c r="BV86" s="112">
        <f t="shared" si="144"/>
        <v>0</v>
      </c>
      <c r="CI86" s="4">
        <f t="shared" si="145"/>
        <v>45190</v>
      </c>
      <c r="CJ86" s="50">
        <f ca="1">IF($BH86=0,IF($CO86="",CJ85+R86,IF('283'!$K$251=1,VLOOKUP($CO86,PerStBal,2)+R86,IF('283'!$K$253=1,(VLOOKUP($CO86,PerPortion,2)*VLOOKUP($CO86,PerStBal,6))+R86,GL!BS86))),0)</f>
        <v>0</v>
      </c>
      <c r="CK86" s="425">
        <f ca="1">IF($BH86=0,IF($CO86="",CK85+T86,IF('283'!$K$251=1,IF(mname2&lt;&gt;"",VLOOKUP($CO86,PerStBal,3)+T86,0),IF('283'!$K$253=1,(VLOOKUP($CO86,PerPortion,3)*VLOOKUP($CO86,PerStBal,6))+T86,GL!BT86))),0)</f>
        <v>0</v>
      </c>
      <c r="CL86" s="425">
        <f ca="1">IF($BH86=0,IF($CO86="",CL85+V86,IF('283'!$K$251=1,IF(mname3&lt;&gt;"",VLOOKUP($CO86,PerStBal,4)+V86,0),IF('283'!$K$253=1,(VLOOKUP($CO86,PerPortion,4)*VLOOKUP($CO86,PerStBal,6))+V86,GL!BU86))),0)</f>
        <v>0</v>
      </c>
      <c r="CM86" s="425">
        <f ca="1">IF($BH86=0,IF($CO86="",CM85+X86,IF('283'!$K$251=1,IF(mname4&lt;&gt;"",VLOOKUP($CO86,PerStBal,5)+X86,0),IF('283'!$K$253=1,(VLOOKUP($CO86,PerPortion,5)*VLOOKUP($CO86,PerStBal,6))+X86,GL!BV86))),0)</f>
        <v>0</v>
      </c>
      <c r="CN86" s="50">
        <f t="shared" ca="1" si="146"/>
        <v>0</v>
      </c>
      <c r="CO86" s="4" t="str">
        <f t="shared" ca="1" si="147"/>
        <v/>
      </c>
      <c r="CP86" s="377">
        <f t="shared" si="108"/>
        <v>0</v>
      </c>
      <c r="DI86" s="4">
        <f t="shared" si="148"/>
        <v>45190</v>
      </c>
      <c r="DJ86" s="112">
        <f t="shared" ca="1" si="149"/>
        <v>0</v>
      </c>
      <c r="DK86" s="112">
        <f t="shared" si="150"/>
        <v>0</v>
      </c>
      <c r="DL86" s="4">
        <f t="shared" si="151"/>
        <v>45190</v>
      </c>
      <c r="DM86" s="112">
        <f t="shared" ca="1" si="152"/>
        <v>0</v>
      </c>
      <c r="DN86" s="112">
        <f t="shared" si="153"/>
        <v>0</v>
      </c>
      <c r="DO86" s="4">
        <f t="shared" si="154"/>
        <v>45190</v>
      </c>
      <c r="DP86" s="112">
        <f t="shared" ca="1" si="155"/>
        <v>0</v>
      </c>
      <c r="DQ86" s="112">
        <f t="shared" si="156"/>
        <v>0</v>
      </c>
      <c r="DR86" s="4">
        <f t="shared" si="157"/>
        <v>45190</v>
      </c>
      <c r="DS86" s="112">
        <f t="shared" ca="1" si="158"/>
        <v>0</v>
      </c>
      <c r="DT86" s="112">
        <f t="shared" si="159"/>
        <v>0</v>
      </c>
      <c r="DU86" s="4">
        <f t="shared" si="160"/>
        <v>45190</v>
      </c>
      <c r="DV86" s="112">
        <f t="shared" si="161"/>
        <v>0</v>
      </c>
      <c r="DW86" s="112">
        <f t="shared" si="162"/>
        <v>0</v>
      </c>
    </row>
    <row r="87" spans="1:127" ht="16.5" thickTop="1" thickBot="1" x14ac:dyDescent="0.3">
      <c r="A87" s="5" t="str">
        <f>'283'!S64</f>
        <v/>
      </c>
      <c r="B87" s="45" t="str">
        <f>IF(MID('283'!$E64,6,1)="R","Commutation",IF(MID('283'!$F64,6,1)="R","New Pension",IF(OR(LEFT('283'!$E64,1)="R",LEFT('283'!$F64,1)="R"),"Reserve Allocation","")))</f>
        <v/>
      </c>
      <c r="C87" s="164" t="str">
        <f>IF(B87&lt;&gt;"",'283'!D64,"")</f>
        <v/>
      </c>
      <c r="D87" s="169" t="str">
        <f ca="1">IF($H87="1 R",IF($C87=YearStart,-$A87*m1pens,-$A87*(VLOOKUP($C87-1,$AA$4:$AM$369,2)-SUMIF($C$5:$C$84,$C87,$D5:$D84))),IF($P87="1 R",IF(RIGHT($H87,1)="N",-OFFSET($J87,0,LEFT($H87,1)),-OFFSET($C87,0,LEFT($H87,1))),""))</f>
        <v/>
      </c>
      <c r="E87" s="47" t="str">
        <f t="shared" ca="1" si="164"/>
        <v/>
      </c>
      <c r="F87" s="47" t="str">
        <f t="shared" ca="1" si="165"/>
        <v/>
      </c>
      <c r="G87" s="170" t="str">
        <f t="shared" ca="1" si="166"/>
        <v/>
      </c>
      <c r="H87" s="23" t="str">
        <f>IF('283'!E64&lt;&gt;"",IF(ISERROR(VALUE(LEFT(MID('283'!E64,4,3),1))),"5 N",MID('283'!E64,4,3)),"")</f>
        <v/>
      </c>
      <c r="I87" s="125" t="str">
        <f>IF(MID('283'!$E64,6,1)="R","Commutation",IF(MID('283'!$F64,6,1)="R","New Pension",IF(OR(LEFT('283'!$E64,1)="R",LEFT('283'!$F64,1)="R"),"Reserve Allocation",IF(AND(MID('283'!E64,6,1)="N",MID('283'!F64,6,1)="N"),"Accum Trans",""))))</f>
        <v/>
      </c>
      <c r="J87" s="153" t="str">
        <f>IF(I87&lt;&gt;"",'283'!D64,"")</f>
        <v/>
      </c>
      <c r="K87" s="158" t="str">
        <f ca="1">IF($H87="1 N",IF($J87=YearStart,-$A87*(m1accum+SUMIF($J$5:$J$84,$J87,$K$5:$K$84)),-$A87*(VLOOKUP($J87-1,$AA$4:$AM$369,3)+SUMIF($J$5:$J$84,$J87,$K$5:$K$84)+SUMIF($J88:$J94,$J87,K88:K94)+SUMIF(J85:J86,J87,K85:K86))),IF($P87="1 N",IF(RIGHT($H87,1)="N",-OFFSET($J87,0,LEFT($H87,1)),-OFFSET($C87,0,LEFT($H87,1))),""))</f>
        <v/>
      </c>
      <c r="L87" s="46" t="str">
        <f ca="1">IF($H87="2 N",IF($J87=YearStart,-$A87*(m2accum+SUMIF($J$5:$J$84,$J87,$L$5:$L$84)),-$A87*(VLOOKUP($J87-1,$AA$4:$AM$369,6)+SUMIF($J$5:$J$84,$J87,$L$5:$L$84)+SUMIF($J88:$J94,$J87,L88:L94)+SUMIF(J85:J86,J87,L85:L86))),IF($P87="2 N",IF(RIGHT($H87,1)="N",-OFFSET($J87,0,LEFT($H87,1)),-OFFSET($C87,0,LEFT($H87,1))),""))</f>
        <v/>
      </c>
      <c r="M87" s="46" t="str">
        <f ca="1">IF($H87="3 N",IF($J87=YearStart,-$A87*(m3accum+SUMIF($J$5:$J$84,$J87,$M$5:$M$84)),-$A87*(VLOOKUP($J87-1,$AA$4:$AM$369,9)+SUMIF($J$5:$J$84,$J87,$M$5:$M$84)+SUMIF($J88:$J94,$J87,M88:M94)+SUMIF(J85:J86,J87,M85:M86))),IF($P87="3 N",IF(RIGHT($H87,1)="N",-OFFSET($J87,0,LEFT($H87,1)),-OFFSET($C87,0,LEFT($H87,1))),""))</f>
        <v/>
      </c>
      <c r="N87" s="46" t="str">
        <f ca="1">IF($H87="4 N",IF($J87=YearStart,-$A87*(m4accum+SUMIF($J$5:$J$84,$J87,$N$5:$N$84)),-$A87*(VLOOKUP($J87-1,$AA$4:$AM$369,12)+SUMIF($J$5:$J$84,$J87,$N$5:$N$84)+SUMIF($J88:$J94,$J87,N88:N94)+SUMIF(J85:J86,J87,N85:N86))),IF($P87="4 N",IF(RIGHT($H87,1)="N",-OFFSET($J87,0,LEFT($H87,1)),-OFFSET($C87,0,LEFT($H87,1))),""))</f>
        <v/>
      </c>
      <c r="O87" s="159" t="str">
        <f ca="1">IF($H87="5 N",IF($J87=YearStart,-$A87*res,-$A87*(VLOOKUP($J87-1,$AA$4:$AM$369,13)+SUMIF($J$5:$J$84,$J87,$O$5:$O$84)+SUMIF($J85:$J86,$J87,O85:O86)+SUMIF($J88:$J94,$J87,O88:O94))),IF($P87="5 N",IF(RIGHT($H87,1)="N",-OFFSET($J87,0,LEFT($H87,1)),-OFFSET($C87,0,LEFT($H87,1))),""))</f>
        <v/>
      </c>
      <c r="P87" s="23" t="str">
        <f>IF('283'!F64&lt;&gt;"",IF(ISERROR(VALUE(LEFT(MID('283'!F64,4,3),1))),"5 N",MID('283'!F64,4,3)),"")</f>
        <v/>
      </c>
      <c r="Q87" s="4">
        <f t="shared" si="109"/>
        <v>45191</v>
      </c>
      <c r="R87" s="24">
        <f t="shared" si="110"/>
        <v>0</v>
      </c>
      <c r="S87" s="25">
        <f t="shared" si="111"/>
        <v>0</v>
      </c>
      <c r="T87" s="24">
        <f t="shared" si="112"/>
        <v>0</v>
      </c>
      <c r="U87" s="25">
        <f t="shared" si="113"/>
        <v>0</v>
      </c>
      <c r="V87" s="24">
        <f t="shared" si="114"/>
        <v>0</v>
      </c>
      <c r="W87" s="25">
        <f t="shared" si="115"/>
        <v>0</v>
      </c>
      <c r="X87" s="24">
        <f t="shared" si="116"/>
        <v>0</v>
      </c>
      <c r="Y87" s="26">
        <f t="shared" si="117"/>
        <v>0</v>
      </c>
      <c r="Z87" s="27">
        <f t="shared" si="118"/>
        <v>0</v>
      </c>
      <c r="AA87" s="28">
        <f t="shared" si="119"/>
        <v>45191</v>
      </c>
      <c r="AB87" s="24">
        <f t="shared" si="120"/>
        <v>0</v>
      </c>
      <c r="AC87" s="25">
        <f t="shared" si="121"/>
        <v>0</v>
      </c>
      <c r="AD87" s="28">
        <f t="shared" si="122"/>
        <v>45191</v>
      </c>
      <c r="AE87" s="24">
        <f t="shared" si="123"/>
        <v>0</v>
      </c>
      <c r="AF87" s="25">
        <f t="shared" si="124"/>
        <v>0</v>
      </c>
      <c r="AG87" s="28">
        <f t="shared" si="125"/>
        <v>45191</v>
      </c>
      <c r="AH87" s="24">
        <f t="shared" si="126"/>
        <v>0</v>
      </c>
      <c r="AI87" s="25">
        <f t="shared" si="127"/>
        <v>0</v>
      </c>
      <c r="AJ87" s="28">
        <f t="shared" si="128"/>
        <v>45191</v>
      </c>
      <c r="AK87" s="24">
        <f t="shared" si="129"/>
        <v>0</v>
      </c>
      <c r="AL87" s="25">
        <f t="shared" si="130"/>
        <v>0</v>
      </c>
      <c r="AM87" s="29">
        <f t="shared" si="131"/>
        <v>0</v>
      </c>
      <c r="AN87" s="28">
        <f t="shared" si="132"/>
        <v>45191</v>
      </c>
      <c r="AO87" s="373">
        <f t="shared" si="101"/>
        <v>0</v>
      </c>
      <c r="AP87" s="374">
        <f t="shared" si="102"/>
        <v>0</v>
      </c>
      <c r="AQ87" s="27">
        <f t="shared" si="103"/>
        <v>0</v>
      </c>
      <c r="AR87" s="25">
        <f t="shared" si="104"/>
        <v>0</v>
      </c>
      <c r="AS87" s="25">
        <f t="shared" si="105"/>
        <v>0</v>
      </c>
      <c r="AT87" s="25">
        <f t="shared" si="106"/>
        <v>0</v>
      </c>
      <c r="AU87" s="29">
        <f t="shared" si="163"/>
        <v>0</v>
      </c>
      <c r="AV87" s="27">
        <f t="shared" si="133"/>
        <v>0</v>
      </c>
      <c r="AW87" s="27">
        <f t="shared" si="134"/>
        <v>0</v>
      </c>
      <c r="AX87" s="27">
        <f t="shared" si="135"/>
        <v>0</v>
      </c>
      <c r="AY87" s="27">
        <f t="shared" si="136"/>
        <v>0</v>
      </c>
      <c r="BH87" s="2">
        <f t="shared" si="137"/>
        <v>0</v>
      </c>
      <c r="BI87" s="298" t="str">
        <f t="shared" si="138"/>
        <v/>
      </c>
      <c r="BJ87" s="298" t="str">
        <f t="shared" si="107"/>
        <v/>
      </c>
      <c r="BQ87" s="4">
        <f t="shared" si="139"/>
        <v>45191</v>
      </c>
      <c r="BR87" s="112">
        <f t="shared" si="140"/>
        <v>0</v>
      </c>
      <c r="BS87" s="112">
        <f t="shared" si="141"/>
        <v>0</v>
      </c>
      <c r="BT87" s="112">
        <f t="shared" si="142"/>
        <v>0</v>
      </c>
      <c r="BU87" s="112">
        <f t="shared" si="143"/>
        <v>0</v>
      </c>
      <c r="BV87" s="112">
        <f t="shared" si="144"/>
        <v>0</v>
      </c>
      <c r="CI87" s="4">
        <f t="shared" si="145"/>
        <v>45191</v>
      </c>
      <c r="CJ87" s="50">
        <f ca="1">IF($BH87=0,IF($CO87="",CJ86+R87,IF('283'!$K$251=1,VLOOKUP($CO87,PerStBal,2)+R87,IF('283'!$K$253=1,(VLOOKUP($CO87,PerPortion,2)*VLOOKUP($CO87,PerStBal,6))+R87,GL!BS87))),0)</f>
        <v>0</v>
      </c>
      <c r="CK87" s="425">
        <f ca="1">IF($BH87=0,IF($CO87="",CK86+T87,IF('283'!$K$251=1,IF(mname2&lt;&gt;"",VLOOKUP($CO87,PerStBal,3)+T87,0),IF('283'!$K$253=1,(VLOOKUP($CO87,PerPortion,3)*VLOOKUP($CO87,PerStBal,6))+T87,GL!BT87))),0)</f>
        <v>0</v>
      </c>
      <c r="CL87" s="425">
        <f ca="1">IF($BH87=0,IF($CO87="",CL86+V87,IF('283'!$K$251=1,IF(mname3&lt;&gt;"",VLOOKUP($CO87,PerStBal,4)+V87,0),IF('283'!$K$253=1,(VLOOKUP($CO87,PerPortion,4)*VLOOKUP($CO87,PerStBal,6))+V87,GL!BU87))),0)</f>
        <v>0</v>
      </c>
      <c r="CM87" s="425">
        <f ca="1">IF($BH87=0,IF($CO87="",CM86+X87,IF('283'!$K$251=1,IF(mname4&lt;&gt;"",VLOOKUP($CO87,PerStBal,5)+X87,0),IF('283'!$K$253=1,(VLOOKUP($CO87,PerPortion,5)*VLOOKUP($CO87,PerStBal,6))+X87,GL!BV87))),0)</f>
        <v>0</v>
      </c>
      <c r="CN87" s="50">
        <f t="shared" ca="1" si="146"/>
        <v>0</v>
      </c>
      <c r="CO87" s="4" t="str">
        <f t="shared" ca="1" si="147"/>
        <v/>
      </c>
      <c r="CP87" s="377">
        <f t="shared" si="108"/>
        <v>0</v>
      </c>
      <c r="DI87" s="4">
        <f t="shared" si="148"/>
        <v>45191</v>
      </c>
      <c r="DJ87" s="112">
        <f t="shared" ca="1" si="149"/>
        <v>0</v>
      </c>
      <c r="DK87" s="112">
        <f t="shared" si="150"/>
        <v>0</v>
      </c>
      <c r="DL87" s="4">
        <f t="shared" si="151"/>
        <v>45191</v>
      </c>
      <c r="DM87" s="112">
        <f t="shared" ca="1" si="152"/>
        <v>0</v>
      </c>
      <c r="DN87" s="112">
        <f t="shared" si="153"/>
        <v>0</v>
      </c>
      <c r="DO87" s="4">
        <f t="shared" si="154"/>
        <v>45191</v>
      </c>
      <c r="DP87" s="112">
        <f t="shared" ca="1" si="155"/>
        <v>0</v>
      </c>
      <c r="DQ87" s="112">
        <f t="shared" si="156"/>
        <v>0</v>
      </c>
      <c r="DR87" s="4">
        <f t="shared" si="157"/>
        <v>45191</v>
      </c>
      <c r="DS87" s="112">
        <f t="shared" ca="1" si="158"/>
        <v>0</v>
      </c>
      <c r="DT87" s="112">
        <f t="shared" si="159"/>
        <v>0</v>
      </c>
      <c r="DU87" s="4">
        <f t="shared" si="160"/>
        <v>45191</v>
      </c>
      <c r="DV87" s="112">
        <f t="shared" si="161"/>
        <v>0</v>
      </c>
      <c r="DW87" s="112">
        <f t="shared" si="162"/>
        <v>0</v>
      </c>
    </row>
    <row r="88" spans="1:127" ht="16.5" thickTop="1" thickBot="1" x14ac:dyDescent="0.3">
      <c r="A88" s="5" t="str">
        <f>'283'!S65</f>
        <v/>
      </c>
      <c r="B88" s="45" t="str">
        <f>IF(MID('283'!$E65,6,1)="R","Commutation",IF(MID('283'!$F65,6,1)="R","New Pension",IF(OR(LEFT('283'!$E65,1)="R",LEFT('283'!$F65,1)="R"),"Reserve Allocation","")))</f>
        <v/>
      </c>
      <c r="C88" s="164" t="str">
        <f>IF(B88&lt;&gt;"",'283'!D65,"")</f>
        <v/>
      </c>
      <c r="D88" s="169" t="str">
        <f ca="1">IF($H88="1 R",IF($C88=YearStart,-$A88*m1pens,-$A88*(VLOOKUP($C88-1,$AA$4:$AM$369,2)-SUMIF($C$5:$C$84,$C88,$D5:$D84))),IF($P88="1 R",IF(RIGHT($H88,1)="N",-OFFSET($J88,0,LEFT($H88,1)),-OFFSET($C88,0,LEFT($H88,1))),""))</f>
        <v/>
      </c>
      <c r="E88" s="47" t="str">
        <f t="shared" ca="1" si="164"/>
        <v/>
      </c>
      <c r="F88" s="47" t="str">
        <f t="shared" ca="1" si="165"/>
        <v/>
      </c>
      <c r="G88" s="170" t="str">
        <f t="shared" ca="1" si="166"/>
        <v/>
      </c>
      <c r="H88" s="23" t="str">
        <f>IF('283'!E65&lt;&gt;"",IF(ISERROR(VALUE(LEFT(MID('283'!E65,4,3),1))),"5 N",MID('283'!E65,4,3)),"")</f>
        <v/>
      </c>
      <c r="I88" s="125" t="str">
        <f>IF(MID('283'!$E65,6,1)="R","Commutation",IF(MID('283'!$F65,6,1)="R","New Pension",IF(OR(LEFT('283'!$E65,1)="R",LEFT('283'!$F65,1)="R"),"Reserve Allocation",IF(AND(MID('283'!E65,6,1)="N",MID('283'!F65,6,1)="N"),"Accum Trans",""))))</f>
        <v/>
      </c>
      <c r="J88" s="153" t="str">
        <f>IF(I88&lt;&gt;"",'283'!D65,"")</f>
        <v/>
      </c>
      <c r="K88" s="158" t="str">
        <f ca="1">IF($H88="1 N",IF($J88=YearStart,-$A88*(m1accum+SUMIF($J$5:$J$84,$J88,$K$5:$K$84)),-$A88*(VLOOKUP($J88-1,$AA$4:$AM$369,3)+SUMIF($J$5:$J$84,$J88,$K$5:$K$84)+SUMIF($J89:$J94,$J88,K89:K94)+SUMIF(J85:J87,J88,K85:K87))),IF($P88="1 N",IF(RIGHT($H88,1)="N",-OFFSET($J88,0,LEFT($H88,1)),-OFFSET($C88,0,LEFT($H88,1))),""))</f>
        <v/>
      </c>
      <c r="L88" s="46" t="str">
        <f ca="1">IF($H88="2 N",IF($J88=YearStart,-$A88*(m2accum+SUMIF($J$5:$J$84,$J88,$L$5:$L$84)),-$A88*(VLOOKUP($J88-1,$AA$4:$AM$369,6)+SUMIF($J$5:$J$84,$J88,$L$5:$L$84)+SUMIF($J89:$J94,$J88,L89:L94)+SUMIF(J85:J87,J88,L85:L87))),IF($P88="2 N",IF(RIGHT($H88,1)="N",-OFFSET($J88,0,LEFT($H88,1)),-OFFSET($C88,0,LEFT($H88,1))),""))</f>
        <v/>
      </c>
      <c r="M88" s="46" t="str">
        <f ca="1">IF($H88="3 N",IF($J88=YearStart,-$A88*(m3accum+SUMIF($J$5:$J$84,$J88,$M$5:$M$84)),-$A88*(VLOOKUP($J88-1,$AA$4:$AM$369,9)+SUMIF($J$5:$J$84,$J88,$M$5:$M$84)+SUMIF($J89:$J94,$J88,M89:M94)+SUMIF(J85:J87,J88,M85:M87))),IF($P88="3 N",IF(RIGHT($H88,1)="N",-OFFSET($J88,0,LEFT($H88,1)),-OFFSET($C88,0,LEFT($H88,1))),""))</f>
        <v/>
      </c>
      <c r="N88" s="46" t="str">
        <f ca="1">IF($H88="4 N",IF($J88=YearStart,-$A88*(m4accum+SUMIF($J$5:$J$84,$J88,$N$5:$N$84)),-$A88*(VLOOKUP($J88-1,$AA$4:$AM$369,12)+SUMIF($J$5:$J$84,$J88,$N$5:$N$84)+SUMIF($J89:$J94,$J88,N89:N94)+SUMIF(J85:J87,J88,N85:N87))),IF($P88="4 N",IF(RIGHT($H88,1)="N",-OFFSET($J88,0,LEFT($H88,1)),-OFFSET($C88,0,LEFT($H88,1))),""))</f>
        <v/>
      </c>
      <c r="O88" s="159" t="str">
        <f ca="1">IF($H88="5 N",IF($J88=YearStart,-$A88*res,-$A88*(VLOOKUP($J88-1,$AA$4:$AM$369,13)+SUMIF($J$5:$J$84,$J88,$O$5:$O$84)+SUMIF($J85:$J87,$J88,O85:O87)+SUMIF($J89:$J94,$J88,O89:O94))),IF($P88="5 N",IF(RIGHT($H88,1)="N",-OFFSET($J88,0,LEFT($H88,1)),-OFFSET($C88,0,LEFT($H88,1))),""))</f>
        <v/>
      </c>
      <c r="P88" s="23" t="str">
        <f>IF('283'!F65&lt;&gt;"",IF(ISERROR(VALUE(LEFT(MID('283'!F65,4,3),1))),"5 N",MID('283'!F65,4,3)),"")</f>
        <v/>
      </c>
      <c r="Q88" s="4">
        <f t="shared" si="109"/>
        <v>45192</v>
      </c>
      <c r="R88" s="24">
        <f t="shared" si="110"/>
        <v>0</v>
      </c>
      <c r="S88" s="25">
        <f t="shared" si="111"/>
        <v>0</v>
      </c>
      <c r="T88" s="24">
        <f t="shared" si="112"/>
        <v>0</v>
      </c>
      <c r="U88" s="25">
        <f t="shared" si="113"/>
        <v>0</v>
      </c>
      <c r="V88" s="24">
        <f t="shared" si="114"/>
        <v>0</v>
      </c>
      <c r="W88" s="25">
        <f t="shared" si="115"/>
        <v>0</v>
      </c>
      <c r="X88" s="24">
        <f t="shared" si="116"/>
        <v>0</v>
      </c>
      <c r="Y88" s="26">
        <f t="shared" si="117"/>
        <v>0</v>
      </c>
      <c r="Z88" s="27">
        <f t="shared" si="118"/>
        <v>0</v>
      </c>
      <c r="AA88" s="28">
        <f t="shared" si="119"/>
        <v>45192</v>
      </c>
      <c r="AB88" s="24">
        <f t="shared" si="120"/>
        <v>0</v>
      </c>
      <c r="AC88" s="25">
        <f t="shared" si="121"/>
        <v>0</v>
      </c>
      <c r="AD88" s="28">
        <f t="shared" si="122"/>
        <v>45192</v>
      </c>
      <c r="AE88" s="24">
        <f t="shared" si="123"/>
        <v>0</v>
      </c>
      <c r="AF88" s="25">
        <f t="shared" si="124"/>
        <v>0</v>
      </c>
      <c r="AG88" s="28">
        <f t="shared" si="125"/>
        <v>45192</v>
      </c>
      <c r="AH88" s="24">
        <f t="shared" si="126"/>
        <v>0</v>
      </c>
      <c r="AI88" s="25">
        <f t="shared" si="127"/>
        <v>0</v>
      </c>
      <c r="AJ88" s="28">
        <f t="shared" si="128"/>
        <v>45192</v>
      </c>
      <c r="AK88" s="24">
        <f t="shared" si="129"/>
        <v>0</v>
      </c>
      <c r="AL88" s="25">
        <f t="shared" si="130"/>
        <v>0</v>
      </c>
      <c r="AM88" s="29">
        <f t="shared" si="131"/>
        <v>0</v>
      </c>
      <c r="AN88" s="28">
        <f t="shared" si="132"/>
        <v>45192</v>
      </c>
      <c r="AO88" s="373">
        <f t="shared" si="101"/>
        <v>0</v>
      </c>
      <c r="AP88" s="374">
        <f t="shared" si="102"/>
        <v>0</v>
      </c>
      <c r="AQ88" s="27">
        <f t="shared" si="103"/>
        <v>0</v>
      </c>
      <c r="AR88" s="25">
        <f t="shared" si="104"/>
        <v>0</v>
      </c>
      <c r="AS88" s="25">
        <f t="shared" si="105"/>
        <v>0</v>
      </c>
      <c r="AT88" s="25">
        <f t="shared" si="106"/>
        <v>0</v>
      </c>
      <c r="AU88" s="29">
        <f t="shared" si="163"/>
        <v>0</v>
      </c>
      <c r="AV88" s="27">
        <f t="shared" si="133"/>
        <v>0</v>
      </c>
      <c r="AW88" s="27">
        <f t="shared" si="134"/>
        <v>0</v>
      </c>
      <c r="AX88" s="27">
        <f t="shared" si="135"/>
        <v>0</v>
      </c>
      <c r="AY88" s="27">
        <f t="shared" si="136"/>
        <v>0</v>
      </c>
      <c r="BH88" s="2">
        <f t="shared" si="137"/>
        <v>0</v>
      </c>
      <c r="BI88" s="298" t="str">
        <f t="shared" si="138"/>
        <v/>
      </c>
      <c r="BJ88" s="298" t="str">
        <f t="shared" si="107"/>
        <v/>
      </c>
      <c r="BQ88" s="4">
        <f t="shared" si="139"/>
        <v>45192</v>
      </c>
      <c r="BR88" s="112">
        <f t="shared" si="140"/>
        <v>0</v>
      </c>
      <c r="BS88" s="112">
        <f t="shared" si="141"/>
        <v>0</v>
      </c>
      <c r="BT88" s="112">
        <f t="shared" si="142"/>
        <v>0</v>
      </c>
      <c r="BU88" s="112">
        <f t="shared" si="143"/>
        <v>0</v>
      </c>
      <c r="BV88" s="112">
        <f t="shared" si="144"/>
        <v>0</v>
      </c>
      <c r="CI88" s="4">
        <f t="shared" si="145"/>
        <v>45192</v>
      </c>
      <c r="CJ88" s="50">
        <f ca="1">IF($BH88=0,IF($CO88="",CJ87+R88,IF('283'!$K$251=1,VLOOKUP($CO88,PerStBal,2)+R88,IF('283'!$K$253=1,(VLOOKUP($CO88,PerPortion,2)*VLOOKUP($CO88,PerStBal,6))+R88,GL!BS88))),0)</f>
        <v>0</v>
      </c>
      <c r="CK88" s="425">
        <f ca="1">IF($BH88=0,IF($CO88="",CK87+T88,IF('283'!$K$251=1,IF(mname2&lt;&gt;"",VLOOKUP($CO88,PerStBal,3)+T88,0),IF('283'!$K$253=1,(VLOOKUP($CO88,PerPortion,3)*VLOOKUP($CO88,PerStBal,6))+T88,GL!BT88))),0)</f>
        <v>0</v>
      </c>
      <c r="CL88" s="425">
        <f ca="1">IF($BH88=0,IF($CO88="",CL87+V88,IF('283'!$K$251=1,IF(mname3&lt;&gt;"",VLOOKUP($CO88,PerStBal,4)+V88,0),IF('283'!$K$253=1,(VLOOKUP($CO88,PerPortion,4)*VLOOKUP($CO88,PerStBal,6))+V88,GL!BU88))),0)</f>
        <v>0</v>
      </c>
      <c r="CM88" s="425">
        <f ca="1">IF($BH88=0,IF($CO88="",CM87+X88,IF('283'!$K$251=1,IF(mname4&lt;&gt;"",VLOOKUP($CO88,PerStBal,5)+X88,0),IF('283'!$K$253=1,(VLOOKUP($CO88,PerPortion,5)*VLOOKUP($CO88,PerStBal,6))+X88,GL!BV88))),0)</f>
        <v>0</v>
      </c>
      <c r="CN88" s="50">
        <f t="shared" ca="1" si="146"/>
        <v>0</v>
      </c>
      <c r="CO88" s="4" t="str">
        <f t="shared" ca="1" si="147"/>
        <v/>
      </c>
      <c r="CP88" s="377">
        <f t="shared" si="108"/>
        <v>0</v>
      </c>
      <c r="DI88" s="4">
        <f t="shared" si="148"/>
        <v>45192</v>
      </c>
      <c r="DJ88" s="112">
        <f t="shared" ca="1" si="149"/>
        <v>0</v>
      </c>
      <c r="DK88" s="112">
        <f t="shared" si="150"/>
        <v>0</v>
      </c>
      <c r="DL88" s="4">
        <f t="shared" si="151"/>
        <v>45192</v>
      </c>
      <c r="DM88" s="112">
        <f t="shared" ca="1" si="152"/>
        <v>0</v>
      </c>
      <c r="DN88" s="112">
        <f t="shared" si="153"/>
        <v>0</v>
      </c>
      <c r="DO88" s="4">
        <f t="shared" si="154"/>
        <v>45192</v>
      </c>
      <c r="DP88" s="112">
        <f t="shared" ca="1" si="155"/>
        <v>0</v>
      </c>
      <c r="DQ88" s="112">
        <f t="shared" si="156"/>
        <v>0</v>
      </c>
      <c r="DR88" s="4">
        <f t="shared" si="157"/>
        <v>45192</v>
      </c>
      <c r="DS88" s="112">
        <f t="shared" ca="1" si="158"/>
        <v>0</v>
      </c>
      <c r="DT88" s="112">
        <f t="shared" si="159"/>
        <v>0</v>
      </c>
      <c r="DU88" s="4">
        <f t="shared" si="160"/>
        <v>45192</v>
      </c>
      <c r="DV88" s="112">
        <f t="shared" si="161"/>
        <v>0</v>
      </c>
      <c r="DW88" s="112">
        <f t="shared" si="162"/>
        <v>0</v>
      </c>
    </row>
    <row r="89" spans="1:127" ht="16.5" thickTop="1" thickBot="1" x14ac:dyDescent="0.3">
      <c r="A89" s="5" t="str">
        <f>'283'!S66</f>
        <v/>
      </c>
      <c r="B89" s="45" t="str">
        <f>IF(MID('283'!$E66,6,1)="R","Commutation",IF(MID('283'!$F66,6,1)="R","New Pension",IF(OR(LEFT('283'!$E66,1)="R",LEFT('283'!$F66,1)="R"),"Reserve Allocation","")))</f>
        <v/>
      </c>
      <c r="C89" s="164" t="str">
        <f>IF(B89&lt;&gt;"",'283'!D66,"")</f>
        <v/>
      </c>
      <c r="D89" s="169" t="str">
        <f ca="1">IF($H89="1 R",IF($C89=YearStart,-$A89*m1pens,-$A89*(VLOOKUP($C89-1,$AA$4:$AM$369,2)-SUMIF($C$5:$C$84,$C89,$D5:$D84))),IF($P89="1 R",IF(RIGHT($H89,1)="N",-OFFSET($J89,0,LEFT($H89,1)),-OFFSET($C89,0,LEFT($H89,1))),""))</f>
        <v/>
      </c>
      <c r="E89" s="47" t="str">
        <f t="shared" ca="1" si="164"/>
        <v/>
      </c>
      <c r="F89" s="47" t="str">
        <f t="shared" ca="1" si="165"/>
        <v/>
      </c>
      <c r="G89" s="170" t="str">
        <f t="shared" ca="1" si="166"/>
        <v/>
      </c>
      <c r="H89" s="23" t="str">
        <f>IF('283'!E66&lt;&gt;"",IF(ISERROR(VALUE(LEFT(MID('283'!E66,4,3),1))),"5 N",MID('283'!E66,4,3)),"")</f>
        <v/>
      </c>
      <c r="I89" s="125" t="str">
        <f>IF(MID('283'!$E66,6,1)="R","Commutation",IF(MID('283'!$F66,6,1)="R","New Pension",IF(OR(LEFT('283'!$E66,1)="R",LEFT('283'!$F66,1)="R"),"Reserve Allocation",IF(AND(MID('283'!E66,6,1)="N",MID('283'!F66,6,1)="N"),"Accum Trans",""))))</f>
        <v/>
      </c>
      <c r="J89" s="153" t="str">
        <f>IF(I89&lt;&gt;"",'283'!D66,"")</f>
        <v/>
      </c>
      <c r="K89" s="158" t="str">
        <f ca="1">IF($H89="1 N",IF($J89=YearStart,-$A89*(m1accum+SUMIF($J$5:$J$84,$J89,$K$5:$K$84)),-$A89*(VLOOKUP($J89-1,$AA$4:$AM$369,3)+SUMIF($J$5:$J$84,$J89,$K$5:$K$84)+SUMIF($J90:$J94,$J89,K90:K94)+SUMIF(J85:J88,J89,K85:K88))),IF($P89="1 N",IF(RIGHT($H89,1)="N",-OFFSET($J89,0,LEFT($H89,1)),-OFFSET($C89,0,LEFT($H89,1))),""))</f>
        <v/>
      </c>
      <c r="L89" s="46" t="str">
        <f ca="1">IF($H89="2 N",IF($J89=YearStart,-$A89*(m2accum+SUMIF($J$5:$J$84,$J89,$L$5:$L$84)),-$A89*(VLOOKUP($J89-1,$AA$4:$AM$369,6)+SUMIF($J$5:$J$84,$J89,$L$5:$L$84)+SUMIF($J90:$J94,$J89,L90:L94)+SUMIF(J85:J88,J89,L85:L88))),IF($P89="2 N",IF(RIGHT($H89,1)="N",-OFFSET($J89,0,LEFT($H89,1)),-OFFSET($C89,0,LEFT($H89,1))),""))</f>
        <v/>
      </c>
      <c r="M89" s="46" t="str">
        <f ca="1">IF($H89="3 N",IF($J89=YearStart,-$A89*(m3accum+SUMIF($J$5:$J$84,$J89,$M$5:$M$84)),-$A89*(VLOOKUP($J89-1,$AA$4:$AM$369,9)+SUMIF($J$5:$J$84,$J89,$M$5:$M$84)+SUMIF($J90:$J94,$J89,M90:M94)+SUMIF(J85:J88,J89,M85:M88))),IF($P89="3 N",IF(RIGHT($H89,1)="N",-OFFSET($J89,0,LEFT($H89,1)),-OFFSET($C89,0,LEFT($H89,1))),""))</f>
        <v/>
      </c>
      <c r="N89" s="46" t="str">
        <f ca="1">IF($H89="4 N",IF($J89=YearStart,-$A89*(m4accum+SUMIF($J$5:$J$84,$J89,$N$5:$N$84)),-$A89*(VLOOKUP($J89-1,$AA$4:$AM$369,12)+SUMIF($J$5:$J$84,$J89,$N$5:$N$84)+SUMIF($J90:$J94,$J89,N90:N94)+SUMIF(J85:J88,J89,N85:N88))),IF($P89="4 N",IF(RIGHT($H89,1)="N",-OFFSET($J89,0,LEFT($H89,1)),-OFFSET($C89,0,LEFT($H89,1))),""))</f>
        <v/>
      </c>
      <c r="O89" s="159" t="str">
        <f ca="1">IF($H89="5 N",IF($J89=YearStart,-$A89*res,-$A89*(VLOOKUP($J89-1,$AA$4:$AM$369,13)+SUMIF($J$5:$J$84,$J89,$O$5:$O$84)+SUMIF($J85:$J88,$J89,O85:O88)+SUMIF($J90:$J94,$J89,O90:O94))),IF($P89="5 N",IF(RIGHT($H89,1)="N",-OFFSET($J89,0,LEFT($H89,1)),-OFFSET($C89,0,LEFT($H89,1))),""))</f>
        <v/>
      </c>
      <c r="P89" s="23" t="str">
        <f>IF('283'!F66&lt;&gt;"",IF(ISERROR(VALUE(LEFT(MID('283'!F66,4,3),1))),"5 N",MID('283'!F66,4,3)),"")</f>
        <v/>
      </c>
      <c r="Q89" s="4">
        <f t="shared" si="109"/>
        <v>45193</v>
      </c>
      <c r="R89" s="24">
        <f t="shared" si="110"/>
        <v>0</v>
      </c>
      <c r="S89" s="25">
        <f t="shared" si="111"/>
        <v>0</v>
      </c>
      <c r="T89" s="24">
        <f t="shared" si="112"/>
        <v>0</v>
      </c>
      <c r="U89" s="25">
        <f t="shared" si="113"/>
        <v>0</v>
      </c>
      <c r="V89" s="24">
        <f t="shared" si="114"/>
        <v>0</v>
      </c>
      <c r="W89" s="25">
        <f t="shared" si="115"/>
        <v>0</v>
      </c>
      <c r="X89" s="24">
        <f t="shared" si="116"/>
        <v>0</v>
      </c>
      <c r="Y89" s="26">
        <f t="shared" si="117"/>
        <v>0</v>
      </c>
      <c r="Z89" s="27">
        <f t="shared" si="118"/>
        <v>0</v>
      </c>
      <c r="AA89" s="28">
        <f t="shared" si="119"/>
        <v>45193</v>
      </c>
      <c r="AB89" s="24">
        <f t="shared" si="120"/>
        <v>0</v>
      </c>
      <c r="AC89" s="25">
        <f t="shared" si="121"/>
        <v>0</v>
      </c>
      <c r="AD89" s="28">
        <f t="shared" si="122"/>
        <v>45193</v>
      </c>
      <c r="AE89" s="24">
        <f t="shared" si="123"/>
        <v>0</v>
      </c>
      <c r="AF89" s="25">
        <f t="shared" si="124"/>
        <v>0</v>
      </c>
      <c r="AG89" s="28">
        <f t="shared" si="125"/>
        <v>45193</v>
      </c>
      <c r="AH89" s="24">
        <f t="shared" si="126"/>
        <v>0</v>
      </c>
      <c r="AI89" s="25">
        <f t="shared" si="127"/>
        <v>0</v>
      </c>
      <c r="AJ89" s="28">
        <f t="shared" si="128"/>
        <v>45193</v>
      </c>
      <c r="AK89" s="24">
        <f t="shared" si="129"/>
        <v>0</v>
      </c>
      <c r="AL89" s="25">
        <f t="shared" si="130"/>
        <v>0</v>
      </c>
      <c r="AM89" s="29">
        <f t="shared" si="131"/>
        <v>0</v>
      </c>
      <c r="AN89" s="28">
        <f t="shared" si="132"/>
        <v>45193</v>
      </c>
      <c r="AO89" s="373">
        <f t="shared" si="101"/>
        <v>0</v>
      </c>
      <c r="AP89" s="374">
        <f t="shared" si="102"/>
        <v>0</v>
      </c>
      <c r="AQ89" s="27">
        <f t="shared" si="103"/>
        <v>0</v>
      </c>
      <c r="AR89" s="25">
        <f t="shared" si="104"/>
        <v>0</v>
      </c>
      <c r="AS89" s="25">
        <f t="shared" si="105"/>
        <v>0</v>
      </c>
      <c r="AT89" s="25">
        <f t="shared" si="106"/>
        <v>0</v>
      </c>
      <c r="AU89" s="29">
        <f t="shared" si="163"/>
        <v>0</v>
      </c>
      <c r="AV89" s="27">
        <f t="shared" si="133"/>
        <v>0</v>
      </c>
      <c r="AW89" s="27">
        <f t="shared" si="134"/>
        <v>0</v>
      </c>
      <c r="AX89" s="27">
        <f t="shared" si="135"/>
        <v>0</v>
      </c>
      <c r="AY89" s="27">
        <f t="shared" si="136"/>
        <v>0</v>
      </c>
      <c r="BH89" s="2">
        <f t="shared" si="137"/>
        <v>0</v>
      </c>
      <c r="BI89" s="298" t="str">
        <f t="shared" si="138"/>
        <v/>
      </c>
      <c r="BJ89" s="298" t="str">
        <f t="shared" si="107"/>
        <v/>
      </c>
      <c r="BQ89" s="4">
        <f t="shared" si="139"/>
        <v>45193</v>
      </c>
      <c r="BR89" s="112">
        <f t="shared" si="140"/>
        <v>0</v>
      </c>
      <c r="BS89" s="112">
        <f t="shared" si="141"/>
        <v>0</v>
      </c>
      <c r="BT89" s="112">
        <f t="shared" si="142"/>
        <v>0</v>
      </c>
      <c r="BU89" s="112">
        <f t="shared" si="143"/>
        <v>0</v>
      </c>
      <c r="BV89" s="112">
        <f t="shared" si="144"/>
        <v>0</v>
      </c>
      <c r="CI89" s="4">
        <f t="shared" si="145"/>
        <v>45193</v>
      </c>
      <c r="CJ89" s="50">
        <f ca="1">IF($BH89=0,IF($CO89="",CJ88+R89,IF('283'!$K$251=1,VLOOKUP($CO89,PerStBal,2)+R89,IF('283'!$K$253=1,(VLOOKUP($CO89,PerPortion,2)*VLOOKUP($CO89,PerStBal,6))+R89,GL!BS89))),0)</f>
        <v>0</v>
      </c>
      <c r="CK89" s="425">
        <f ca="1">IF($BH89=0,IF($CO89="",CK88+T89,IF('283'!$K$251=1,IF(mname2&lt;&gt;"",VLOOKUP($CO89,PerStBal,3)+T89,0),IF('283'!$K$253=1,(VLOOKUP($CO89,PerPortion,3)*VLOOKUP($CO89,PerStBal,6))+T89,GL!BT89))),0)</f>
        <v>0</v>
      </c>
      <c r="CL89" s="425">
        <f ca="1">IF($BH89=0,IF($CO89="",CL88+V89,IF('283'!$K$251=1,IF(mname3&lt;&gt;"",VLOOKUP($CO89,PerStBal,4)+V89,0),IF('283'!$K$253=1,(VLOOKUP($CO89,PerPortion,4)*VLOOKUP($CO89,PerStBal,6))+V89,GL!BU89))),0)</f>
        <v>0</v>
      </c>
      <c r="CM89" s="425">
        <f ca="1">IF($BH89=0,IF($CO89="",CM88+X89,IF('283'!$K$251=1,IF(mname4&lt;&gt;"",VLOOKUP($CO89,PerStBal,5)+X89,0),IF('283'!$K$253=1,(VLOOKUP($CO89,PerPortion,5)*VLOOKUP($CO89,PerStBal,6))+X89,GL!BV89))),0)</f>
        <v>0</v>
      </c>
      <c r="CN89" s="50">
        <f t="shared" ca="1" si="146"/>
        <v>0</v>
      </c>
      <c r="CO89" s="4" t="str">
        <f t="shared" ca="1" si="147"/>
        <v/>
      </c>
      <c r="CP89" s="377">
        <f t="shared" si="108"/>
        <v>0</v>
      </c>
      <c r="DI89" s="4">
        <f t="shared" si="148"/>
        <v>45193</v>
      </c>
      <c r="DJ89" s="112">
        <f t="shared" ca="1" si="149"/>
        <v>0</v>
      </c>
      <c r="DK89" s="112">
        <f t="shared" si="150"/>
        <v>0</v>
      </c>
      <c r="DL89" s="4">
        <f t="shared" si="151"/>
        <v>45193</v>
      </c>
      <c r="DM89" s="112">
        <f t="shared" ca="1" si="152"/>
        <v>0</v>
      </c>
      <c r="DN89" s="112">
        <f t="shared" si="153"/>
        <v>0</v>
      </c>
      <c r="DO89" s="4">
        <f t="shared" si="154"/>
        <v>45193</v>
      </c>
      <c r="DP89" s="112">
        <f t="shared" ca="1" si="155"/>
        <v>0</v>
      </c>
      <c r="DQ89" s="112">
        <f t="shared" si="156"/>
        <v>0</v>
      </c>
      <c r="DR89" s="4">
        <f t="shared" si="157"/>
        <v>45193</v>
      </c>
      <c r="DS89" s="112">
        <f t="shared" ca="1" si="158"/>
        <v>0</v>
      </c>
      <c r="DT89" s="112">
        <f t="shared" si="159"/>
        <v>0</v>
      </c>
      <c r="DU89" s="4">
        <f t="shared" si="160"/>
        <v>45193</v>
      </c>
      <c r="DV89" s="112">
        <f t="shared" si="161"/>
        <v>0</v>
      </c>
      <c r="DW89" s="112">
        <f t="shared" si="162"/>
        <v>0</v>
      </c>
    </row>
    <row r="90" spans="1:127" ht="16.5" thickTop="1" thickBot="1" x14ac:dyDescent="0.3">
      <c r="A90" s="5" t="str">
        <f>'283'!S67</f>
        <v/>
      </c>
      <c r="B90" s="45" t="str">
        <f>IF(MID('283'!$E67,6,1)="R","Commutation",IF(MID('283'!$F67,6,1)="R","New Pension",IF(OR(LEFT('283'!$E67,1)="R",LEFT('283'!$F67,1)="R"),"Reserve Allocation","")))</f>
        <v/>
      </c>
      <c r="C90" s="164" t="str">
        <f>IF(B90&lt;&gt;"",'283'!D67,"")</f>
        <v/>
      </c>
      <c r="D90" s="169" t="str">
        <f ca="1">IF($H90="1 R",IF($C90=YearStart,-$A90*m1pens,-$A90*(VLOOKUP($C90-1,$AA$4:$AM$369,2)-SUMIF($C$5:$C$84,$C90,$D5:$D84))),IF($P90="1 R",IF(RIGHT($H90,1)="N",-OFFSET($J90,0,LEFT($H90,1)),-OFFSET($C90,0,LEFT($H90,1))),""))</f>
        <v/>
      </c>
      <c r="E90" s="47" t="str">
        <f t="shared" ca="1" si="164"/>
        <v/>
      </c>
      <c r="F90" s="47" t="str">
        <f t="shared" ca="1" si="165"/>
        <v/>
      </c>
      <c r="G90" s="170" t="str">
        <f t="shared" ca="1" si="166"/>
        <v/>
      </c>
      <c r="H90" s="23" t="str">
        <f>IF('283'!E67&lt;&gt;"",IF(ISERROR(VALUE(LEFT(MID('283'!E67,4,3),1))),"5 N",MID('283'!E67,4,3)),"")</f>
        <v/>
      </c>
      <c r="I90" s="125" t="str">
        <f>IF(MID('283'!$E67,6,1)="R","Commutation",IF(MID('283'!$F67,6,1)="R","New Pension",IF(OR(LEFT('283'!$E67,1)="R",LEFT('283'!$F67,1)="R"),"Reserve Allocation",IF(AND(MID('283'!E67,6,1)="N",MID('283'!F67,6,1)="N"),"Accum Trans",""))))</f>
        <v/>
      </c>
      <c r="J90" s="153" t="str">
        <f>IF(I90&lt;&gt;"",'283'!D67,"")</f>
        <v/>
      </c>
      <c r="K90" s="158" t="str">
        <f ca="1">IF($H90="1 N",IF($J90=YearStart,-$A90*(m1accum+SUMIF($J$5:$J$84,$J90,$K$5:$K$84)),-$A90*(VLOOKUP($J90-1,$AA$4:$AM$369,3)+SUMIF($J$5:$J$84,$J90,$K$5:$K$84)+SUMIF($J91:$J94,$J90,K91:K94)+SUMIF(J85:J89,J90,K85:K89))),IF($P90="1 N",IF(RIGHT($H90,1)="N",-OFFSET($J90,0,LEFT($H90,1)),-OFFSET($C90,0,LEFT($H90,1))),""))</f>
        <v/>
      </c>
      <c r="L90" s="46" t="str">
        <f ca="1">IF($H90="2 N",IF($J90=YearStart,-$A90*(m2accum+SUMIF($J$5:$J$84,$J90,$L$5:$L$84)),-$A90*(VLOOKUP($J90-1,$AA$4:$AM$369,6)+SUMIF($J$5:$J$84,$J90,$L$5:$L$84)+SUMIF($J91:$J94,$J90,L91:L94)+SUMIF(J85:J89,J90,L85:L89))),IF($P90="2 N",IF(RIGHT($H90,1)="N",-OFFSET($J90,0,LEFT($H90,1)),-OFFSET($C90,0,LEFT($H90,1))),""))</f>
        <v/>
      </c>
      <c r="M90" s="46" t="str">
        <f ca="1">IF($H90="3 N",IF($J90=YearStart,-$A90*(m3accum+SUMIF($J$5:$J$84,$J90,$M$5:$M$84)),-$A90*(VLOOKUP($J90-1,$AA$4:$AM$369,9)+SUMIF($J$5:$J$84,$J90,$M$5:$M$84)+SUMIF($J91:$J94,$J90,M91:M94)+SUMIF(J85:J89,J90,M85:M89))),IF($P90="3 N",IF(RIGHT($H90,1)="N",-OFFSET($J90,0,LEFT($H90,1)),-OFFSET($C90,0,LEFT($H90,1))),""))</f>
        <v/>
      </c>
      <c r="N90" s="46" t="str">
        <f ca="1">IF($H90="4 N",IF($J90=YearStart,-$A90*(m4accum+SUMIF($J$5:$J$84,$J90,$N$5:$N$84)),-$A90*(VLOOKUP($J90-1,$AA$4:$AM$369,12)+SUMIF($J$5:$J$84,$J90,$N$5:$N$84)+SUMIF($J91:$J94,$J90,N91:N94)+SUMIF(J85:J89,J90,N85:N89))),IF($P90="4 N",IF(RIGHT($H90,1)="N",-OFFSET($J90,0,LEFT($H90,1)),-OFFSET($C90,0,LEFT($H90,1))),""))</f>
        <v/>
      </c>
      <c r="O90" s="159" t="str">
        <f ca="1">IF($H90="5 N",IF($J90=YearStart,-$A90*res,-$A90*(VLOOKUP($J90-1,$AA$4:$AM$369,13)+SUMIF($J$5:$J$84,$J90,$O$5:$O$84)+SUMIF($J85:$J89,$J90,O85:O89)+SUMIF($J91:$J94,$J90,O91:O94))),IF($P90="5 N",IF(RIGHT($H90,1)="N",-OFFSET($J90,0,LEFT($H90,1)),-OFFSET($C90,0,LEFT($H90,1))),""))</f>
        <v/>
      </c>
      <c r="P90" s="23" t="str">
        <f>IF('283'!F67&lt;&gt;"",IF(ISERROR(VALUE(LEFT(MID('283'!F67,4,3),1))),"5 N",MID('283'!F67,4,3)),"")</f>
        <v/>
      </c>
      <c r="Q90" s="4">
        <f t="shared" si="109"/>
        <v>45194</v>
      </c>
      <c r="R90" s="24">
        <f t="shared" si="110"/>
        <v>0</v>
      </c>
      <c r="S90" s="25">
        <f t="shared" si="111"/>
        <v>0</v>
      </c>
      <c r="T90" s="24">
        <f t="shared" si="112"/>
        <v>0</v>
      </c>
      <c r="U90" s="25">
        <f t="shared" si="113"/>
        <v>0</v>
      </c>
      <c r="V90" s="24">
        <f t="shared" si="114"/>
        <v>0</v>
      </c>
      <c r="W90" s="25">
        <f t="shared" si="115"/>
        <v>0</v>
      </c>
      <c r="X90" s="24">
        <f t="shared" si="116"/>
        <v>0</v>
      </c>
      <c r="Y90" s="26">
        <f t="shared" si="117"/>
        <v>0</v>
      </c>
      <c r="Z90" s="27">
        <f t="shared" si="118"/>
        <v>0</v>
      </c>
      <c r="AA90" s="28">
        <f t="shared" si="119"/>
        <v>45194</v>
      </c>
      <c r="AB90" s="24">
        <f t="shared" si="120"/>
        <v>0</v>
      </c>
      <c r="AC90" s="25">
        <f t="shared" si="121"/>
        <v>0</v>
      </c>
      <c r="AD90" s="28">
        <f t="shared" si="122"/>
        <v>45194</v>
      </c>
      <c r="AE90" s="24">
        <f t="shared" si="123"/>
        <v>0</v>
      </c>
      <c r="AF90" s="25">
        <f t="shared" si="124"/>
        <v>0</v>
      </c>
      <c r="AG90" s="28">
        <f t="shared" si="125"/>
        <v>45194</v>
      </c>
      <c r="AH90" s="24">
        <f t="shared" si="126"/>
        <v>0</v>
      </c>
      <c r="AI90" s="25">
        <f t="shared" si="127"/>
        <v>0</v>
      </c>
      <c r="AJ90" s="28">
        <f t="shared" si="128"/>
        <v>45194</v>
      </c>
      <c r="AK90" s="24">
        <f t="shared" si="129"/>
        <v>0</v>
      </c>
      <c r="AL90" s="25">
        <f t="shared" si="130"/>
        <v>0</v>
      </c>
      <c r="AM90" s="29">
        <f t="shared" si="131"/>
        <v>0</v>
      </c>
      <c r="AN90" s="28">
        <f t="shared" si="132"/>
        <v>45194</v>
      </c>
      <c r="AO90" s="373">
        <f t="shared" si="101"/>
        <v>0</v>
      </c>
      <c r="AP90" s="374">
        <f t="shared" si="102"/>
        <v>0</v>
      </c>
      <c r="AQ90" s="27">
        <f t="shared" si="103"/>
        <v>0</v>
      </c>
      <c r="AR90" s="25">
        <f t="shared" si="104"/>
        <v>0</v>
      </c>
      <c r="AS90" s="25">
        <f t="shared" si="105"/>
        <v>0</v>
      </c>
      <c r="AT90" s="25">
        <f t="shared" si="106"/>
        <v>0</v>
      </c>
      <c r="AU90" s="29">
        <f t="shared" si="163"/>
        <v>0</v>
      </c>
      <c r="AV90" s="27">
        <f t="shared" si="133"/>
        <v>0</v>
      </c>
      <c r="AW90" s="27">
        <f t="shared" si="134"/>
        <v>0</v>
      </c>
      <c r="AX90" s="27">
        <f t="shared" si="135"/>
        <v>0</v>
      </c>
      <c r="AY90" s="27">
        <f t="shared" si="136"/>
        <v>0</v>
      </c>
      <c r="BH90" s="2">
        <f t="shared" si="137"/>
        <v>0</v>
      </c>
      <c r="BI90" s="298" t="str">
        <f t="shared" si="138"/>
        <v/>
      </c>
      <c r="BJ90" s="298" t="str">
        <f t="shared" si="107"/>
        <v/>
      </c>
      <c r="BQ90" s="4">
        <f t="shared" si="139"/>
        <v>45194</v>
      </c>
      <c r="BR90" s="112">
        <f t="shared" si="140"/>
        <v>0</v>
      </c>
      <c r="BS90" s="112">
        <f t="shared" si="141"/>
        <v>0</v>
      </c>
      <c r="BT90" s="112">
        <f t="shared" si="142"/>
        <v>0</v>
      </c>
      <c r="BU90" s="112">
        <f t="shared" si="143"/>
        <v>0</v>
      </c>
      <c r="BV90" s="112">
        <f t="shared" si="144"/>
        <v>0</v>
      </c>
      <c r="CI90" s="4">
        <f t="shared" si="145"/>
        <v>45194</v>
      </c>
      <c r="CJ90" s="50">
        <f ca="1">IF($BH90=0,IF($CO90="",CJ89+R90,IF('283'!$K$251=1,VLOOKUP($CO90,PerStBal,2)+R90,IF('283'!$K$253=1,(VLOOKUP($CO90,PerPortion,2)*VLOOKUP($CO90,PerStBal,6))+R90,GL!BS90))),0)</f>
        <v>0</v>
      </c>
      <c r="CK90" s="425">
        <f ca="1">IF($BH90=0,IF($CO90="",CK89+T90,IF('283'!$K$251=1,IF(mname2&lt;&gt;"",VLOOKUP($CO90,PerStBal,3)+T90,0),IF('283'!$K$253=1,(VLOOKUP($CO90,PerPortion,3)*VLOOKUP($CO90,PerStBal,6))+T90,GL!BT90))),0)</f>
        <v>0</v>
      </c>
      <c r="CL90" s="425">
        <f ca="1">IF($BH90=0,IF($CO90="",CL89+V90,IF('283'!$K$251=1,IF(mname3&lt;&gt;"",VLOOKUP($CO90,PerStBal,4)+V90,0),IF('283'!$K$253=1,(VLOOKUP($CO90,PerPortion,4)*VLOOKUP($CO90,PerStBal,6))+V90,GL!BU90))),0)</f>
        <v>0</v>
      </c>
      <c r="CM90" s="425">
        <f ca="1">IF($BH90=0,IF($CO90="",CM89+X90,IF('283'!$K$251=1,IF(mname4&lt;&gt;"",VLOOKUP($CO90,PerStBal,5)+X90,0),IF('283'!$K$253=1,(VLOOKUP($CO90,PerPortion,5)*VLOOKUP($CO90,PerStBal,6))+X90,GL!BV90))),0)</f>
        <v>0</v>
      </c>
      <c r="CN90" s="50">
        <f t="shared" ca="1" si="146"/>
        <v>0</v>
      </c>
      <c r="CO90" s="4" t="str">
        <f t="shared" ca="1" si="147"/>
        <v/>
      </c>
      <c r="CP90" s="377">
        <f t="shared" si="108"/>
        <v>0</v>
      </c>
      <c r="DI90" s="4">
        <f t="shared" si="148"/>
        <v>45194</v>
      </c>
      <c r="DJ90" s="112">
        <f t="shared" ca="1" si="149"/>
        <v>0</v>
      </c>
      <c r="DK90" s="112">
        <f t="shared" si="150"/>
        <v>0</v>
      </c>
      <c r="DL90" s="4">
        <f t="shared" si="151"/>
        <v>45194</v>
      </c>
      <c r="DM90" s="112">
        <f t="shared" ca="1" si="152"/>
        <v>0</v>
      </c>
      <c r="DN90" s="112">
        <f t="shared" si="153"/>
        <v>0</v>
      </c>
      <c r="DO90" s="4">
        <f t="shared" si="154"/>
        <v>45194</v>
      </c>
      <c r="DP90" s="112">
        <f t="shared" ca="1" si="155"/>
        <v>0</v>
      </c>
      <c r="DQ90" s="112">
        <f t="shared" si="156"/>
        <v>0</v>
      </c>
      <c r="DR90" s="4">
        <f t="shared" si="157"/>
        <v>45194</v>
      </c>
      <c r="DS90" s="112">
        <f t="shared" ca="1" si="158"/>
        <v>0</v>
      </c>
      <c r="DT90" s="112">
        <f t="shared" si="159"/>
        <v>0</v>
      </c>
      <c r="DU90" s="4">
        <f t="shared" si="160"/>
        <v>45194</v>
      </c>
      <c r="DV90" s="112">
        <f t="shared" si="161"/>
        <v>0</v>
      </c>
      <c r="DW90" s="112">
        <f t="shared" si="162"/>
        <v>0</v>
      </c>
    </row>
    <row r="91" spans="1:127" ht="16.5" thickTop="1" thickBot="1" x14ac:dyDescent="0.3">
      <c r="A91" s="5" t="str">
        <f>'283'!S68</f>
        <v/>
      </c>
      <c r="B91" s="45" t="str">
        <f>IF(MID('283'!$E68,6,1)="R","Commutation",IF(MID('283'!$F68,6,1)="R","New Pension",IF(OR(LEFT('283'!$E68,1)="R",LEFT('283'!$F68,1)="R"),"Reserve Allocation","")))</f>
        <v/>
      </c>
      <c r="C91" s="164" t="str">
        <f>IF(B91&lt;&gt;"",'283'!D68,"")</f>
        <v/>
      </c>
      <c r="D91" s="169" t="str">
        <f ca="1">IF($H91="1 R",IF($C91=YearStart,-$A91*m1pens,-$A91*(VLOOKUP($C91-1,$AA$4:$AM$369,2)-SUMIF($C$5:$C$84,$C91,$D5:$D84))),IF($P91="1 R",IF(RIGHT($H91,1)="N",-OFFSET($J91,0,LEFT($H91,1)),-OFFSET($C91,0,LEFT($H91,1))),""))</f>
        <v/>
      </c>
      <c r="E91" s="47" t="str">
        <f t="shared" ca="1" si="164"/>
        <v/>
      </c>
      <c r="F91" s="47" t="str">
        <f t="shared" ca="1" si="165"/>
        <v/>
      </c>
      <c r="G91" s="170" t="str">
        <f t="shared" ca="1" si="166"/>
        <v/>
      </c>
      <c r="H91" s="23" t="str">
        <f>IF('283'!E68&lt;&gt;"",IF(ISERROR(VALUE(LEFT(MID('283'!E68,4,3),1))),"5 N",MID('283'!E68,4,3)),"")</f>
        <v/>
      </c>
      <c r="I91" s="125" t="str">
        <f>IF(MID('283'!$E68,6,1)="R","Commutation",IF(MID('283'!$F68,6,1)="R","New Pension",IF(OR(LEFT('283'!$E68,1)="R",LEFT('283'!$F68,1)="R"),"Reserve Allocation",IF(AND(MID('283'!E68,6,1)="N",MID('283'!F68,6,1)="N"),"Accum Trans",""))))</f>
        <v/>
      </c>
      <c r="J91" s="153" t="str">
        <f>IF(I91&lt;&gt;"",'283'!D68,"")</f>
        <v/>
      </c>
      <c r="K91" s="158" t="str">
        <f ca="1">IF($H91="1 N",IF($J91=YearStart,-$A91*(m1accum+SUMIF($J$5:$J$84,$J91,$K$5:$K$84)),-$A91*(VLOOKUP($J91-1,$AA$4:$AM$369,3)+SUMIF($J$5:$J$84,$J91,$K$5:$K$84)+SUMIF($J92:$J94,$J91,K92:K94)+SUMIF(J85:J90,J91,K85:K90))),IF($P91="1 N",IF(RIGHT($H91,1)="N",-OFFSET($J91,0,LEFT($H91,1)),-OFFSET($C91,0,LEFT($H91,1))),""))</f>
        <v/>
      </c>
      <c r="L91" s="46" t="str">
        <f ca="1">IF($H91="2 N",IF($J91=YearStart,-$A91*(m2accum+SUMIF($J$5:$J$84,$J91,$L$5:$L$84)),-$A91*(VLOOKUP($J91-1,$AA$4:$AM$369,6)+SUMIF($J$5:$J$84,$J91,$L$5:$L$84)+SUMIF($J92:$J94,$J91,L92:L94)+SUMIF(J85:J90,J91,L85:L90))),IF($P91="2 N",IF(RIGHT($H91,1)="N",-OFFSET($J91,0,LEFT($H91,1)),-OFFSET($C91,0,LEFT($H91,1))),""))</f>
        <v/>
      </c>
      <c r="M91" s="46" t="str">
        <f ca="1">IF($H91="3 N",IF($J91=YearStart,-$A91*(m3accum+SUMIF($J$5:$J$84,$J91,$M$5:$M$84)),-$A91*(VLOOKUP($J91-1,$AA$4:$AM$369,9)+SUMIF($J$5:$J$84,$J91,$M$5:$M$84)+SUMIF($J92:$J94,$J91,M92:M94)+SUMIF(J85:J90,J91,M85:M90))),IF($P91="3 N",IF(RIGHT($H91,1)="N",-OFFSET($J91,0,LEFT($H91,1)),-OFFSET($C91,0,LEFT($H91,1))),""))</f>
        <v/>
      </c>
      <c r="N91" s="46" t="str">
        <f ca="1">IF($H91="4 N",IF($J91=YearStart,-$A91*(m4accum+SUMIF($J$5:$J$84,$J91,$N$5:$N$84)),-$A91*(VLOOKUP($J91-1,$AA$4:$AM$369,12)+SUMIF($J$5:$J$84,$J91,$N$5:$N$84)+SUMIF($J92:$J94,$J91,N92:N94)+SUMIF(J85:J90,J91,N85:N90))),IF($P91="4 N",IF(RIGHT($H91,1)="N",-OFFSET($J91,0,LEFT($H91,1)),-OFFSET($C91,0,LEFT($H91,1))),""))</f>
        <v/>
      </c>
      <c r="O91" s="159" t="str">
        <f ca="1">IF($H91="5 N",IF($J91=YearStart,-$A91*res,-$A91*(VLOOKUP($J91-1,$AA$4:$AM$369,13)+SUMIF($J$5:$J$84,$J91,$O$5:$O$84)+SUMIF($J85:$J90,$J91,O85:O90)+SUMIF($J92:$J94,$J91,O92:O94))),IF($P91="5 N",IF(RIGHT($H91,1)="N",-OFFSET($J91,0,LEFT($H91,1)),-OFFSET($C91,0,LEFT($H91,1))),""))</f>
        <v/>
      </c>
      <c r="P91" s="23" t="str">
        <f>IF('283'!F68&lt;&gt;"",IF(ISERROR(VALUE(LEFT(MID('283'!F68,4,3),1))),"5 N",MID('283'!F68,4,3)),"")</f>
        <v/>
      </c>
      <c r="Q91" s="4">
        <f t="shared" si="109"/>
        <v>45195</v>
      </c>
      <c r="R91" s="24">
        <f t="shared" si="110"/>
        <v>0</v>
      </c>
      <c r="S91" s="25">
        <f t="shared" si="111"/>
        <v>0</v>
      </c>
      <c r="T91" s="24">
        <f t="shared" si="112"/>
        <v>0</v>
      </c>
      <c r="U91" s="25">
        <f t="shared" si="113"/>
        <v>0</v>
      </c>
      <c r="V91" s="24">
        <f t="shared" si="114"/>
        <v>0</v>
      </c>
      <c r="W91" s="25">
        <f t="shared" si="115"/>
        <v>0</v>
      </c>
      <c r="X91" s="24">
        <f t="shared" si="116"/>
        <v>0</v>
      </c>
      <c r="Y91" s="26">
        <f t="shared" si="117"/>
        <v>0</v>
      </c>
      <c r="Z91" s="27">
        <f t="shared" si="118"/>
        <v>0</v>
      </c>
      <c r="AA91" s="28">
        <f t="shared" si="119"/>
        <v>45195</v>
      </c>
      <c r="AB91" s="24">
        <f t="shared" si="120"/>
        <v>0</v>
      </c>
      <c r="AC91" s="25">
        <f t="shared" si="121"/>
        <v>0</v>
      </c>
      <c r="AD91" s="28">
        <f t="shared" si="122"/>
        <v>45195</v>
      </c>
      <c r="AE91" s="24">
        <f t="shared" si="123"/>
        <v>0</v>
      </c>
      <c r="AF91" s="25">
        <f t="shared" si="124"/>
        <v>0</v>
      </c>
      <c r="AG91" s="28">
        <f t="shared" si="125"/>
        <v>45195</v>
      </c>
      <c r="AH91" s="24">
        <f t="shared" si="126"/>
        <v>0</v>
      </c>
      <c r="AI91" s="25">
        <f t="shared" si="127"/>
        <v>0</v>
      </c>
      <c r="AJ91" s="28">
        <f t="shared" si="128"/>
        <v>45195</v>
      </c>
      <c r="AK91" s="24">
        <f t="shared" si="129"/>
        <v>0</v>
      </c>
      <c r="AL91" s="25">
        <f t="shared" si="130"/>
        <v>0</v>
      </c>
      <c r="AM91" s="29">
        <f t="shared" si="131"/>
        <v>0</v>
      </c>
      <c r="AN91" s="28">
        <f t="shared" si="132"/>
        <v>45195</v>
      </c>
      <c r="AO91" s="373">
        <f t="shared" si="101"/>
        <v>0</v>
      </c>
      <c r="AP91" s="374">
        <f t="shared" si="102"/>
        <v>0</v>
      </c>
      <c r="AQ91" s="27">
        <f t="shared" si="103"/>
        <v>0</v>
      </c>
      <c r="AR91" s="25">
        <f t="shared" si="104"/>
        <v>0</v>
      </c>
      <c r="AS91" s="25">
        <f t="shared" si="105"/>
        <v>0</v>
      </c>
      <c r="AT91" s="25">
        <f t="shared" si="106"/>
        <v>0</v>
      </c>
      <c r="AU91" s="29">
        <f t="shared" si="163"/>
        <v>0</v>
      </c>
      <c r="AV91" s="27">
        <f t="shared" si="133"/>
        <v>0</v>
      </c>
      <c r="AW91" s="27">
        <f t="shared" si="134"/>
        <v>0</v>
      </c>
      <c r="AX91" s="27">
        <f t="shared" si="135"/>
        <v>0</v>
      </c>
      <c r="AY91" s="27">
        <f t="shared" si="136"/>
        <v>0</v>
      </c>
      <c r="BH91" s="2">
        <f t="shared" si="137"/>
        <v>0</v>
      </c>
      <c r="BI91" s="298" t="str">
        <f t="shared" si="138"/>
        <v/>
      </c>
      <c r="BJ91" s="298" t="str">
        <f t="shared" si="107"/>
        <v/>
      </c>
      <c r="BQ91" s="4">
        <f t="shared" si="139"/>
        <v>45195</v>
      </c>
      <c r="BR91" s="112">
        <f t="shared" si="140"/>
        <v>0</v>
      </c>
      <c r="BS91" s="112">
        <f t="shared" si="141"/>
        <v>0</v>
      </c>
      <c r="BT91" s="112">
        <f t="shared" si="142"/>
        <v>0</v>
      </c>
      <c r="BU91" s="112">
        <f t="shared" si="143"/>
        <v>0</v>
      </c>
      <c r="BV91" s="112">
        <f t="shared" si="144"/>
        <v>0</v>
      </c>
      <c r="CI91" s="4">
        <f t="shared" si="145"/>
        <v>45195</v>
      </c>
      <c r="CJ91" s="50">
        <f ca="1">IF($BH91=0,IF($CO91="",CJ90+R91,IF('283'!$K$251=1,VLOOKUP($CO91,PerStBal,2)+R91,IF('283'!$K$253=1,(VLOOKUP($CO91,PerPortion,2)*VLOOKUP($CO91,PerStBal,6))+R91,GL!BS91))),0)</f>
        <v>0</v>
      </c>
      <c r="CK91" s="425">
        <f ca="1">IF($BH91=0,IF($CO91="",CK90+T91,IF('283'!$K$251=1,IF(mname2&lt;&gt;"",VLOOKUP($CO91,PerStBal,3)+T91,0),IF('283'!$K$253=1,(VLOOKUP($CO91,PerPortion,3)*VLOOKUP($CO91,PerStBal,6))+T91,GL!BT91))),0)</f>
        <v>0</v>
      </c>
      <c r="CL91" s="425">
        <f ca="1">IF($BH91=0,IF($CO91="",CL90+V91,IF('283'!$K$251=1,IF(mname3&lt;&gt;"",VLOOKUP($CO91,PerStBal,4)+V91,0),IF('283'!$K$253=1,(VLOOKUP($CO91,PerPortion,4)*VLOOKUP($CO91,PerStBal,6))+V91,GL!BU91))),0)</f>
        <v>0</v>
      </c>
      <c r="CM91" s="425">
        <f ca="1">IF($BH91=0,IF($CO91="",CM90+X91,IF('283'!$K$251=1,IF(mname4&lt;&gt;"",VLOOKUP($CO91,PerStBal,5)+X91,0),IF('283'!$K$253=1,(VLOOKUP($CO91,PerPortion,5)*VLOOKUP($CO91,PerStBal,6))+X91,GL!BV91))),0)</f>
        <v>0</v>
      </c>
      <c r="CN91" s="50">
        <f t="shared" ca="1" si="146"/>
        <v>0</v>
      </c>
      <c r="CO91" s="4" t="str">
        <f t="shared" ca="1" si="147"/>
        <v/>
      </c>
      <c r="CP91" s="377">
        <f t="shared" si="108"/>
        <v>0</v>
      </c>
      <c r="DI91" s="4">
        <f t="shared" si="148"/>
        <v>45195</v>
      </c>
      <c r="DJ91" s="112">
        <f t="shared" ca="1" si="149"/>
        <v>0</v>
      </c>
      <c r="DK91" s="112">
        <f t="shared" si="150"/>
        <v>0</v>
      </c>
      <c r="DL91" s="4">
        <f t="shared" si="151"/>
        <v>45195</v>
      </c>
      <c r="DM91" s="112">
        <f t="shared" ca="1" si="152"/>
        <v>0</v>
      </c>
      <c r="DN91" s="112">
        <f t="shared" si="153"/>
        <v>0</v>
      </c>
      <c r="DO91" s="4">
        <f t="shared" si="154"/>
        <v>45195</v>
      </c>
      <c r="DP91" s="112">
        <f t="shared" ca="1" si="155"/>
        <v>0</v>
      </c>
      <c r="DQ91" s="112">
        <f t="shared" si="156"/>
        <v>0</v>
      </c>
      <c r="DR91" s="4">
        <f t="shared" si="157"/>
        <v>45195</v>
      </c>
      <c r="DS91" s="112">
        <f t="shared" ca="1" si="158"/>
        <v>0</v>
      </c>
      <c r="DT91" s="112">
        <f t="shared" si="159"/>
        <v>0</v>
      </c>
      <c r="DU91" s="4">
        <f t="shared" si="160"/>
        <v>45195</v>
      </c>
      <c r="DV91" s="112">
        <f t="shared" si="161"/>
        <v>0</v>
      </c>
      <c r="DW91" s="112">
        <f t="shared" si="162"/>
        <v>0</v>
      </c>
    </row>
    <row r="92" spans="1:127" ht="16.5" thickTop="1" thickBot="1" x14ac:dyDescent="0.3">
      <c r="A92" s="5" t="str">
        <f>'283'!S69</f>
        <v/>
      </c>
      <c r="B92" s="45" t="str">
        <f>IF(MID('283'!$E69,6,1)="R","Commutation",IF(MID('283'!$F69,6,1)="R","New Pension",IF(OR(LEFT('283'!$E69,1)="R",LEFT('283'!$F69,1)="R"),"Reserve Allocation","")))</f>
        <v/>
      </c>
      <c r="C92" s="164" t="str">
        <f>IF(B92&lt;&gt;"",'283'!D69,"")</f>
        <v/>
      </c>
      <c r="D92" s="169" t="str">
        <f ca="1">IF($H92="1 R",IF($C92=YearStart,-$A92*m1pens,-$A92*(VLOOKUP($C92-1,$AA$4:$AM$369,2)-SUMIF($C$5:$C$84,$C92,$D5:$D84))),IF($P92="1 R",IF(RIGHT($H92,1)="N",-OFFSET($J92,0,LEFT($H92,1)),-OFFSET($C92,0,LEFT($H92,1))),""))</f>
        <v/>
      </c>
      <c r="E92" s="47" t="str">
        <f t="shared" ca="1" si="164"/>
        <v/>
      </c>
      <c r="F92" s="47" t="str">
        <f t="shared" ca="1" si="165"/>
        <v/>
      </c>
      <c r="G92" s="170" t="str">
        <f t="shared" ca="1" si="166"/>
        <v/>
      </c>
      <c r="H92" s="23" t="str">
        <f>IF('283'!E69&lt;&gt;"",IF(ISERROR(VALUE(LEFT(MID('283'!E69,4,3),1))),"5 N",MID('283'!E69,4,3)),"")</f>
        <v/>
      </c>
      <c r="I92" s="125" t="str">
        <f>IF(MID('283'!$E69,6,1)="R","Commutation",IF(MID('283'!$F69,6,1)="R","New Pension",IF(OR(LEFT('283'!$E69,1)="R",LEFT('283'!$F69,1)="R"),"Reserve Allocation",IF(AND(MID('283'!E69,6,1)="N",MID('283'!F69,6,1)="N"),"Accum Trans",""))))</f>
        <v/>
      </c>
      <c r="J92" s="153" t="str">
        <f>IF(I92&lt;&gt;"",'283'!D69,"")</f>
        <v/>
      </c>
      <c r="K92" s="158" t="str">
        <f ca="1">IF($H92="1 N",IF($J92=YearStart,-$A92*(m1accum+SUMIF($J$5:$J$84,$J92,$K$5:$K$84)),-$A92*(VLOOKUP($J92-1,$AA$4:$AM$369,3)+SUMIF($J$5:$J$84,$J92,$K$5:$K$84)+SUMIF($J93:$J94,$J92,K93:K94)+SUMIF(J85:J91,J92,K85:K91))),IF($P92="1 N",IF(RIGHT($H92,1)="N",-OFFSET($J92,0,LEFT($H92,1)),-OFFSET($C92,0,LEFT($H92,1))),""))</f>
        <v/>
      </c>
      <c r="L92" s="46" t="str">
        <f ca="1">IF($H92="2 N",IF($J92=YearStart,-$A92*(m2accum+SUMIF($J$5:$J$84,$J92,$L$5:$L$84)),-$A92*(VLOOKUP($J92-1,$AA$4:$AM$369,6)+SUMIF($J$5:$J$84,$J92,$L$5:$L$84)+SUMIF($J93:$J94,$J92,L93:L94)+SUMIF(J85:J91,J92,L85:L91))),IF($P92="2 N",IF(RIGHT($H92,1)="N",-OFFSET($J92,0,LEFT($H92,1)),-OFFSET($C92,0,LEFT($H92,1))),""))</f>
        <v/>
      </c>
      <c r="M92" s="46" t="str">
        <f ca="1">IF($H92="3 N",IF($J92=YearStart,-$A92*(m3accum+SUMIF($J$5:$J$84,$J92,$M$5:$M$84)),-$A92*(VLOOKUP($J92-1,$AA$4:$AM$369,9)+SUMIF($J$5:$J$84,$J92,$M$5:$M$84)+SUMIF($J93:$J94,$J92,M93:M94)+SUMIF(J85:J91,J92,M85:M91))),IF($P92="3 N",IF(RIGHT($H92,1)="N",-OFFSET($J92,0,LEFT($H92,1)),-OFFSET($C92,0,LEFT($H92,1))),""))</f>
        <v/>
      </c>
      <c r="N92" s="46" t="str">
        <f ca="1">IF($H92="4 N",IF($J92=YearStart,-$A92*(m4accum+SUMIF($J$5:$J$84,$J92,$N$5:$N$84)),-$A92*(VLOOKUP($J92-1,$AA$4:$AM$369,12)+SUMIF($J$5:$J$84,$J92,$N$5:$N$84)+SUMIF($J93:$J94,$J92,N93:N94)+SUMIF(J85:J91,J92,N85:N91))),IF($P92="4 N",IF(RIGHT($H92,1)="N",-OFFSET($J92,0,LEFT($H92,1)),-OFFSET($C92,0,LEFT($H92,1))),""))</f>
        <v/>
      </c>
      <c r="O92" s="159" t="str">
        <f ca="1">IF($H92="5 N",IF($J92=YearStart,-$A92*res,-$A92*(VLOOKUP($J92-1,$AA$4:$AM$369,13)+SUMIF($J$5:$J$84,$J92,$O$5:$O$84)+SUMIF($J85:$J91,$J92,O85:O91)+SUMIF($J93:$J94,$J92,O93:O94))),IF($P92="5 N",IF(RIGHT($H92,1)="N",-OFFSET($J92,0,LEFT($H92,1)),-OFFSET($C92,0,LEFT($H92,1))),""))</f>
        <v/>
      </c>
      <c r="P92" s="23" t="str">
        <f>IF('283'!F69&lt;&gt;"",IF(ISERROR(VALUE(LEFT(MID('283'!F69,4,3),1))),"5 N",MID('283'!F69,4,3)),"")</f>
        <v/>
      </c>
      <c r="Q92" s="4">
        <f t="shared" si="109"/>
        <v>45196</v>
      </c>
      <c r="R92" s="24">
        <f t="shared" si="110"/>
        <v>0</v>
      </c>
      <c r="S92" s="25">
        <f t="shared" si="111"/>
        <v>0</v>
      </c>
      <c r="T92" s="24">
        <f t="shared" si="112"/>
        <v>0</v>
      </c>
      <c r="U92" s="25">
        <f t="shared" si="113"/>
        <v>0</v>
      </c>
      <c r="V92" s="24">
        <f t="shared" si="114"/>
        <v>0</v>
      </c>
      <c r="W92" s="25">
        <f t="shared" si="115"/>
        <v>0</v>
      </c>
      <c r="X92" s="24">
        <f t="shared" si="116"/>
        <v>0</v>
      </c>
      <c r="Y92" s="26">
        <f t="shared" si="117"/>
        <v>0</v>
      </c>
      <c r="Z92" s="27">
        <f t="shared" si="118"/>
        <v>0</v>
      </c>
      <c r="AA92" s="28">
        <f t="shared" si="119"/>
        <v>45196</v>
      </c>
      <c r="AB92" s="24">
        <f t="shared" si="120"/>
        <v>0</v>
      </c>
      <c r="AC92" s="25">
        <f t="shared" si="121"/>
        <v>0</v>
      </c>
      <c r="AD92" s="28">
        <f t="shared" si="122"/>
        <v>45196</v>
      </c>
      <c r="AE92" s="24">
        <f t="shared" si="123"/>
        <v>0</v>
      </c>
      <c r="AF92" s="25">
        <f t="shared" si="124"/>
        <v>0</v>
      </c>
      <c r="AG92" s="28">
        <f t="shared" si="125"/>
        <v>45196</v>
      </c>
      <c r="AH92" s="24">
        <f t="shared" si="126"/>
        <v>0</v>
      </c>
      <c r="AI92" s="25">
        <f t="shared" si="127"/>
        <v>0</v>
      </c>
      <c r="AJ92" s="28">
        <f t="shared" si="128"/>
        <v>45196</v>
      </c>
      <c r="AK92" s="24">
        <f t="shared" si="129"/>
        <v>0</v>
      </c>
      <c r="AL92" s="25">
        <f t="shared" si="130"/>
        <v>0</v>
      </c>
      <c r="AM92" s="29">
        <f t="shared" si="131"/>
        <v>0</v>
      </c>
      <c r="AN92" s="28">
        <f t="shared" si="132"/>
        <v>45196</v>
      </c>
      <c r="AO92" s="373">
        <f t="shared" si="101"/>
        <v>0</v>
      </c>
      <c r="AP92" s="374">
        <f t="shared" si="102"/>
        <v>0</v>
      </c>
      <c r="AQ92" s="27">
        <f t="shared" si="103"/>
        <v>0</v>
      </c>
      <c r="AR92" s="25">
        <f t="shared" si="104"/>
        <v>0</v>
      </c>
      <c r="AS92" s="25">
        <f t="shared" si="105"/>
        <v>0</v>
      </c>
      <c r="AT92" s="25">
        <f t="shared" si="106"/>
        <v>0</v>
      </c>
      <c r="AU92" s="29">
        <f t="shared" si="163"/>
        <v>0</v>
      </c>
      <c r="AV92" s="27">
        <f t="shared" si="133"/>
        <v>0</v>
      </c>
      <c r="AW92" s="27">
        <f t="shared" si="134"/>
        <v>0</v>
      </c>
      <c r="AX92" s="27">
        <f t="shared" si="135"/>
        <v>0</v>
      </c>
      <c r="AY92" s="27">
        <f t="shared" si="136"/>
        <v>0</v>
      </c>
      <c r="BH92" s="2">
        <f t="shared" si="137"/>
        <v>0</v>
      </c>
      <c r="BI92" s="298" t="str">
        <f t="shared" si="138"/>
        <v/>
      </c>
      <c r="BJ92" s="298" t="str">
        <f t="shared" si="107"/>
        <v/>
      </c>
      <c r="BQ92" s="4">
        <f t="shared" si="139"/>
        <v>45196</v>
      </c>
      <c r="BR92" s="112">
        <f t="shared" si="140"/>
        <v>0</v>
      </c>
      <c r="BS92" s="112">
        <f t="shared" si="141"/>
        <v>0</v>
      </c>
      <c r="BT92" s="112">
        <f t="shared" si="142"/>
        <v>0</v>
      </c>
      <c r="BU92" s="112">
        <f t="shared" si="143"/>
        <v>0</v>
      </c>
      <c r="BV92" s="112">
        <f t="shared" si="144"/>
        <v>0</v>
      </c>
      <c r="CI92" s="4">
        <f t="shared" si="145"/>
        <v>45196</v>
      </c>
      <c r="CJ92" s="50">
        <f ca="1">IF($BH92=0,IF($CO92="",CJ91+R92,IF('283'!$K$251=1,VLOOKUP($CO92,PerStBal,2)+R92,IF('283'!$K$253=1,(VLOOKUP($CO92,PerPortion,2)*VLOOKUP($CO92,PerStBal,6))+R92,GL!BS92))),0)</f>
        <v>0</v>
      </c>
      <c r="CK92" s="425">
        <f ca="1">IF($BH92=0,IF($CO92="",CK91+T92,IF('283'!$K$251=1,IF(mname2&lt;&gt;"",VLOOKUP($CO92,PerStBal,3)+T92,0),IF('283'!$K$253=1,(VLOOKUP($CO92,PerPortion,3)*VLOOKUP($CO92,PerStBal,6))+T92,GL!BT92))),0)</f>
        <v>0</v>
      </c>
      <c r="CL92" s="425">
        <f ca="1">IF($BH92=0,IF($CO92="",CL91+V92,IF('283'!$K$251=1,IF(mname3&lt;&gt;"",VLOOKUP($CO92,PerStBal,4)+V92,0),IF('283'!$K$253=1,(VLOOKUP($CO92,PerPortion,4)*VLOOKUP($CO92,PerStBal,6))+V92,GL!BU92))),0)</f>
        <v>0</v>
      </c>
      <c r="CM92" s="425">
        <f ca="1">IF($BH92=0,IF($CO92="",CM91+X92,IF('283'!$K$251=1,IF(mname4&lt;&gt;"",VLOOKUP($CO92,PerStBal,5)+X92,0),IF('283'!$K$253=1,(VLOOKUP($CO92,PerPortion,5)*VLOOKUP($CO92,PerStBal,6))+X92,GL!BV92))),0)</f>
        <v>0</v>
      </c>
      <c r="CN92" s="50">
        <f t="shared" ca="1" si="146"/>
        <v>0</v>
      </c>
      <c r="CO92" s="4" t="str">
        <f t="shared" ca="1" si="147"/>
        <v/>
      </c>
      <c r="CP92" s="377">
        <f t="shared" si="108"/>
        <v>0</v>
      </c>
      <c r="DI92" s="4">
        <f t="shared" si="148"/>
        <v>45196</v>
      </c>
      <c r="DJ92" s="112">
        <f t="shared" ca="1" si="149"/>
        <v>0</v>
      </c>
      <c r="DK92" s="112">
        <f t="shared" si="150"/>
        <v>0</v>
      </c>
      <c r="DL92" s="4">
        <f t="shared" si="151"/>
        <v>45196</v>
      </c>
      <c r="DM92" s="112">
        <f t="shared" ca="1" si="152"/>
        <v>0</v>
      </c>
      <c r="DN92" s="112">
        <f t="shared" si="153"/>
        <v>0</v>
      </c>
      <c r="DO92" s="4">
        <f t="shared" si="154"/>
        <v>45196</v>
      </c>
      <c r="DP92" s="112">
        <f t="shared" ca="1" si="155"/>
        <v>0</v>
      </c>
      <c r="DQ92" s="112">
        <f t="shared" si="156"/>
        <v>0</v>
      </c>
      <c r="DR92" s="4">
        <f t="shared" si="157"/>
        <v>45196</v>
      </c>
      <c r="DS92" s="112">
        <f t="shared" ca="1" si="158"/>
        <v>0</v>
      </c>
      <c r="DT92" s="112">
        <f t="shared" si="159"/>
        <v>0</v>
      </c>
      <c r="DU92" s="4">
        <f t="shared" si="160"/>
        <v>45196</v>
      </c>
      <c r="DV92" s="112">
        <f t="shared" si="161"/>
        <v>0</v>
      </c>
      <c r="DW92" s="112">
        <f t="shared" si="162"/>
        <v>0</v>
      </c>
    </row>
    <row r="93" spans="1:127" ht="16.5" thickTop="1" thickBot="1" x14ac:dyDescent="0.3">
      <c r="A93" s="5" t="str">
        <f>'283'!S70</f>
        <v/>
      </c>
      <c r="B93" s="45" t="str">
        <f>IF(MID('283'!$E70,6,1)="R","Commutation",IF(MID('283'!$F70,6,1)="R","New Pension",IF(OR(LEFT('283'!$E70,1)="R",LEFT('283'!$F70,1)="R"),"Reserve Allocation","")))</f>
        <v/>
      </c>
      <c r="C93" s="164" t="str">
        <f>IF(B93&lt;&gt;"",'283'!D70,"")</f>
        <v/>
      </c>
      <c r="D93" s="169" t="str">
        <f ca="1">IF($H93="1 R",IF($C93=YearStart,-$A93*m1pens,-$A93*(VLOOKUP($C93-1,$AA$4:$AM$369,2)-SUMIF($C$5:$C$84,$C93,$D5:$D84))),IF($P93="1 R",IF(RIGHT($H93,1)="N",-OFFSET($J93,0,LEFT($H93,1)),-OFFSET($C93,0,LEFT($H93,1))),""))</f>
        <v/>
      </c>
      <c r="E93" s="47" t="str">
        <f t="shared" ca="1" si="164"/>
        <v/>
      </c>
      <c r="F93" s="47" t="str">
        <f t="shared" ca="1" si="165"/>
        <v/>
      </c>
      <c r="G93" s="170" t="str">
        <f t="shared" ca="1" si="166"/>
        <v/>
      </c>
      <c r="H93" s="23" t="str">
        <f>IF('283'!E70&lt;&gt;"",IF(ISERROR(VALUE(LEFT(MID('283'!E70,4,3),1))),"5 N",MID('283'!E70,4,3)),"")</f>
        <v/>
      </c>
      <c r="I93" s="125" t="str">
        <f>IF(MID('283'!$E70,6,1)="R","Commutation",IF(MID('283'!$F70,6,1)="R","New Pension",IF(OR(LEFT('283'!$E70,1)="R",LEFT('283'!$F70,1)="R"),"Reserve Allocation",IF(AND(MID('283'!E70,6,1)="N",MID('283'!F70,6,1)="N"),"Accum Trans",""))))</f>
        <v/>
      </c>
      <c r="J93" s="153" t="str">
        <f>IF(I93&lt;&gt;"",'283'!D70,"")</f>
        <v/>
      </c>
      <c r="K93" s="158" t="str">
        <f ca="1">IF($H93="1 N",IF($J93=YearStart,-$A93*(m1accum+SUMIF($J$5:$J$84,$J93,$K$5:$K$84)),-$A93*(VLOOKUP($J93-1,$AA$4:$AM$369,3)+SUMIF($J$5:$J$84,$J93,$K$5:$K$84)+SUMIF($J94,$J93,K94)+SUMIF(J85:J92,J93,K85:K92))),IF($P93="1 N",IF(RIGHT($H93,1)="N",-OFFSET($J93,0,LEFT($H93,1)),-OFFSET($C93,0,LEFT($H93,1))),""))</f>
        <v/>
      </c>
      <c r="L93" s="46" t="str">
        <f ca="1">IF($H93="2 N",IF($J93=YearStart,-$A93*(m2accum+SUMIF($J$5:$J$84,$J93,$L$5:$L$84)),-$A93*(VLOOKUP($J93-1,$AA$4:$AM$369,6)+SUMIF($J$5:$J$84,$J93,$L$5:$L$84)+SUMIF($J94,$J93,L94)+SUMIF(J85:J92,J93,L85:L92))),IF($P93="2 N",IF(RIGHT($H93,1)="N",-OFFSET($J93,0,LEFT($H93,1)),-OFFSET($C93,0,LEFT($H93,1))),""))</f>
        <v/>
      </c>
      <c r="M93" s="46" t="str">
        <f ca="1">IF($H93="3 N",IF($J93=YearStart,-$A93*(m3accum+SUMIF($J$5:$J$84,$J93,$M$5:$M$84)),-$A93*(VLOOKUP($J93-1,$AA$4:$AM$369,9)+SUMIF($J$5:$J$84,$J93,$M$5:$M$84)+SUMIF($J94,$J93,M94)+SUMIF(J85:J92,J93,M85:M92))),IF($P93="3 N",IF(RIGHT($H93,1)="N",-OFFSET($J93,0,LEFT($H93,1)),-OFFSET($C93,0,LEFT($H93,1))),""))</f>
        <v/>
      </c>
      <c r="N93" s="46" t="str">
        <f ca="1">IF($H93="4 N",IF($J93=YearStart,-$A93*(m4accum+SUMIF($J$5:$J$84,$J93,$N$5:$N$84)),-$A93*(VLOOKUP($J93-1,$AA$4:$AM$369,12)+SUMIF($J$5:$J$84,$J93,$N$5:$N$84)+SUMIF($J94,$J93,N94)+SUMIF(J85:J92,J93,N85:N92))),IF($P93="4 N",IF(RIGHT($H93,1)="N",-OFFSET($J93,0,LEFT($H93,1)),-OFFSET($C93,0,LEFT($H93,1))),""))</f>
        <v/>
      </c>
      <c r="O93" s="159" t="str">
        <f ca="1">IF($H93="5 N",IF($J93=YearStart,-$A93*res,-$A93*(VLOOKUP($J93-1,$AA$4:$AM$369,13)+SUMIF($J$5:$J$84,$J93,$O$5:$O$84)+SUMIF($J85:$J92,$J93,O85:O92)+SUMIF($J94,$J93,O94))),IF($P93="5 N",IF(RIGHT($H93,1)="N",-OFFSET($J93,0,LEFT($H93,1)),-OFFSET($C93,0,LEFT($H93,1))),""))</f>
        <v/>
      </c>
      <c r="P93" s="23" t="str">
        <f>IF('283'!F70&lt;&gt;"",IF(ISERROR(VALUE(LEFT(MID('283'!F70,4,3),1))),"5 N",MID('283'!F70,4,3)),"")</f>
        <v/>
      </c>
      <c r="Q93" s="4">
        <f t="shared" si="109"/>
        <v>45197</v>
      </c>
      <c r="R93" s="24">
        <f t="shared" si="110"/>
        <v>0</v>
      </c>
      <c r="S93" s="25">
        <f t="shared" si="111"/>
        <v>0</v>
      </c>
      <c r="T93" s="24">
        <f t="shared" si="112"/>
        <v>0</v>
      </c>
      <c r="U93" s="25">
        <f t="shared" si="113"/>
        <v>0</v>
      </c>
      <c r="V93" s="24">
        <f t="shared" si="114"/>
        <v>0</v>
      </c>
      <c r="W93" s="25">
        <f t="shared" si="115"/>
        <v>0</v>
      </c>
      <c r="X93" s="24">
        <f t="shared" si="116"/>
        <v>0</v>
      </c>
      <c r="Y93" s="26">
        <f t="shared" si="117"/>
        <v>0</v>
      </c>
      <c r="Z93" s="27">
        <f t="shared" si="118"/>
        <v>0</v>
      </c>
      <c r="AA93" s="28">
        <f t="shared" si="119"/>
        <v>45197</v>
      </c>
      <c r="AB93" s="24">
        <f t="shared" si="120"/>
        <v>0</v>
      </c>
      <c r="AC93" s="25">
        <f t="shared" si="121"/>
        <v>0</v>
      </c>
      <c r="AD93" s="28">
        <f t="shared" si="122"/>
        <v>45197</v>
      </c>
      <c r="AE93" s="24">
        <f t="shared" si="123"/>
        <v>0</v>
      </c>
      <c r="AF93" s="25">
        <f t="shared" si="124"/>
        <v>0</v>
      </c>
      <c r="AG93" s="28">
        <f t="shared" si="125"/>
        <v>45197</v>
      </c>
      <c r="AH93" s="24">
        <f t="shared" si="126"/>
        <v>0</v>
      </c>
      <c r="AI93" s="25">
        <f t="shared" si="127"/>
        <v>0</v>
      </c>
      <c r="AJ93" s="28">
        <f t="shared" si="128"/>
        <v>45197</v>
      </c>
      <c r="AK93" s="24">
        <f t="shared" si="129"/>
        <v>0</v>
      </c>
      <c r="AL93" s="25">
        <f t="shared" si="130"/>
        <v>0</v>
      </c>
      <c r="AM93" s="29">
        <f t="shared" si="131"/>
        <v>0</v>
      </c>
      <c r="AN93" s="28">
        <f t="shared" si="132"/>
        <v>45197</v>
      </c>
      <c r="AO93" s="373">
        <f t="shared" si="101"/>
        <v>0</v>
      </c>
      <c r="AP93" s="374">
        <f t="shared" si="102"/>
        <v>0</v>
      </c>
      <c r="AQ93" s="27">
        <f t="shared" si="103"/>
        <v>0</v>
      </c>
      <c r="AR93" s="25">
        <f t="shared" si="104"/>
        <v>0</v>
      </c>
      <c r="AS93" s="25">
        <f t="shared" si="105"/>
        <v>0</v>
      </c>
      <c r="AT93" s="25">
        <f t="shared" si="106"/>
        <v>0</v>
      </c>
      <c r="AU93" s="29">
        <f t="shared" si="163"/>
        <v>0</v>
      </c>
      <c r="AV93" s="27">
        <f t="shared" si="133"/>
        <v>0</v>
      </c>
      <c r="AW93" s="27">
        <f t="shared" si="134"/>
        <v>0</v>
      </c>
      <c r="AX93" s="27">
        <f t="shared" si="135"/>
        <v>0</v>
      </c>
      <c r="AY93" s="27">
        <f t="shared" si="136"/>
        <v>0</v>
      </c>
      <c r="BH93" s="2">
        <f t="shared" si="137"/>
        <v>0</v>
      </c>
      <c r="BI93" s="298" t="str">
        <f t="shared" si="138"/>
        <v/>
      </c>
      <c r="BJ93" s="298" t="str">
        <f t="shared" si="107"/>
        <v/>
      </c>
      <c r="BQ93" s="4">
        <f t="shared" si="139"/>
        <v>45197</v>
      </c>
      <c r="BR93" s="112">
        <f t="shared" si="140"/>
        <v>0</v>
      </c>
      <c r="BS93" s="112">
        <f t="shared" si="141"/>
        <v>0</v>
      </c>
      <c r="BT93" s="112">
        <f t="shared" si="142"/>
        <v>0</v>
      </c>
      <c r="BU93" s="112">
        <f t="shared" si="143"/>
        <v>0</v>
      </c>
      <c r="BV93" s="112">
        <f t="shared" si="144"/>
        <v>0</v>
      </c>
      <c r="CI93" s="4">
        <f t="shared" si="145"/>
        <v>45197</v>
      </c>
      <c r="CJ93" s="50">
        <f ca="1">IF($BH93=0,IF($CO93="",CJ92+R93,IF('283'!$K$251=1,VLOOKUP($CO93,PerStBal,2)+R93,IF('283'!$K$253=1,(VLOOKUP($CO93,PerPortion,2)*VLOOKUP($CO93,PerStBal,6))+R93,GL!BS93))),0)</f>
        <v>0</v>
      </c>
      <c r="CK93" s="425">
        <f ca="1">IF($BH93=0,IF($CO93="",CK92+T93,IF('283'!$K$251=1,IF(mname2&lt;&gt;"",VLOOKUP($CO93,PerStBal,3)+T93,0),IF('283'!$K$253=1,(VLOOKUP($CO93,PerPortion,3)*VLOOKUP($CO93,PerStBal,6))+T93,GL!BT93))),0)</f>
        <v>0</v>
      </c>
      <c r="CL93" s="425">
        <f ca="1">IF($BH93=0,IF($CO93="",CL92+V93,IF('283'!$K$251=1,IF(mname3&lt;&gt;"",VLOOKUP($CO93,PerStBal,4)+V93,0),IF('283'!$K$253=1,(VLOOKUP($CO93,PerPortion,4)*VLOOKUP($CO93,PerStBal,6))+V93,GL!BU93))),0)</f>
        <v>0</v>
      </c>
      <c r="CM93" s="425">
        <f ca="1">IF($BH93=0,IF($CO93="",CM92+X93,IF('283'!$K$251=1,IF(mname4&lt;&gt;"",VLOOKUP($CO93,PerStBal,5)+X93,0),IF('283'!$K$253=1,(VLOOKUP($CO93,PerPortion,5)*VLOOKUP($CO93,PerStBal,6))+X93,GL!BV93))),0)</f>
        <v>0</v>
      </c>
      <c r="CN93" s="50">
        <f t="shared" ca="1" si="146"/>
        <v>0</v>
      </c>
      <c r="CO93" s="4" t="str">
        <f t="shared" ca="1" si="147"/>
        <v/>
      </c>
      <c r="CP93" s="377">
        <f t="shared" si="108"/>
        <v>0</v>
      </c>
      <c r="DI93" s="4">
        <f t="shared" si="148"/>
        <v>45197</v>
      </c>
      <c r="DJ93" s="112">
        <f t="shared" ca="1" si="149"/>
        <v>0</v>
      </c>
      <c r="DK93" s="112">
        <f t="shared" si="150"/>
        <v>0</v>
      </c>
      <c r="DL93" s="4">
        <f t="shared" si="151"/>
        <v>45197</v>
      </c>
      <c r="DM93" s="112">
        <f t="shared" ca="1" si="152"/>
        <v>0</v>
      </c>
      <c r="DN93" s="112">
        <f t="shared" si="153"/>
        <v>0</v>
      </c>
      <c r="DO93" s="4">
        <f t="shared" si="154"/>
        <v>45197</v>
      </c>
      <c r="DP93" s="112">
        <f t="shared" ca="1" si="155"/>
        <v>0</v>
      </c>
      <c r="DQ93" s="112">
        <f t="shared" si="156"/>
        <v>0</v>
      </c>
      <c r="DR93" s="4">
        <f t="shared" si="157"/>
        <v>45197</v>
      </c>
      <c r="DS93" s="112">
        <f t="shared" ca="1" si="158"/>
        <v>0</v>
      </c>
      <c r="DT93" s="112">
        <f t="shared" si="159"/>
        <v>0</v>
      </c>
      <c r="DU93" s="4">
        <f t="shared" si="160"/>
        <v>45197</v>
      </c>
      <c r="DV93" s="112">
        <f t="shared" si="161"/>
        <v>0</v>
      </c>
      <c r="DW93" s="112">
        <f t="shared" si="162"/>
        <v>0</v>
      </c>
    </row>
    <row r="94" spans="1:127" ht="16.5" thickTop="1" thickBot="1" x14ac:dyDescent="0.3">
      <c r="A94" s="5" t="str">
        <f>'283'!S71</f>
        <v/>
      </c>
      <c r="B94" s="45" t="str">
        <f>IF(MID('283'!$E71,6,1)="R","Commutation",IF(MID('283'!$F71,6,1)="R","New Pension",IF(OR(LEFT('283'!$E71,1)="R",LEFT('283'!$F71,1)="R"),"Reserve Allocation","")))</f>
        <v/>
      </c>
      <c r="C94" s="165" t="str">
        <f>IF(B94&lt;&gt;"",'283'!D71,"")</f>
        <v/>
      </c>
      <c r="D94" s="171" t="str">
        <f ca="1">IF($H94="1 R",IF($C94=YearStart,-$A94*m1pens,-$A94*(VLOOKUP($C94-1,$AA$4:$AM$369,2)-SUMIF($C$5:$C$84,$C94,$D5:$D84))),IF($P94="1 R",IF(RIGHT($H94,1)="N",-OFFSET($J94,0,LEFT($H94,1)),-OFFSET($C94,0,LEFT($H94,1))),""))</f>
        <v/>
      </c>
      <c r="E94" s="172" t="str">
        <f t="shared" ca="1" si="164"/>
        <v/>
      </c>
      <c r="F94" s="172" t="str">
        <f t="shared" ca="1" si="165"/>
        <v/>
      </c>
      <c r="G94" s="173" t="str">
        <f t="shared" ca="1" si="166"/>
        <v/>
      </c>
      <c r="H94" s="23" t="str">
        <f>IF('283'!E71&lt;&gt;"",IF(ISERROR(VALUE(LEFT(MID('283'!E71,4,3),1))),"5 N",MID('283'!E71,4,3)),"")</f>
        <v/>
      </c>
      <c r="I94" s="125" t="str">
        <f>IF(MID('283'!$E71,6,1)="R","Commutation",IF(MID('283'!$F71,6,1)="R","New Pension",IF(OR(LEFT('283'!$E71,1)="R",LEFT('283'!$F71,1)="R"),"Reserve Allocation",IF(AND(MID('283'!E71,6,1)="N",MID('283'!F71,6,1)="N"),"Accum Trans",""))))</f>
        <v/>
      </c>
      <c r="J94" s="154" t="str">
        <f>IF(I94&lt;&gt;"",'283'!D71,"")</f>
        <v/>
      </c>
      <c r="K94" s="160" t="str">
        <f ca="1">IF($H94="1 N",IF($J94=YearStart,-$A94*(m1accum+SUMIF($J$5:$J$84,$J94,$K$5:$K$84)),-$A94*(VLOOKUP($J94-1,$AA$4:$AM$369,3)+SUMIF($J$5:$J$84,$J94,$K$5:$K$84)+SUMIF($J85:$J93,$J94,K85:K93))),IF($P94="1 N",IF(RIGHT($H94,1)="N",-OFFSET($J94,0,LEFT($H94,1)),-OFFSET($C94,0,LEFT($H94,1))),""))</f>
        <v/>
      </c>
      <c r="L94" s="161" t="str">
        <f ca="1">IF($H94="2 N",IF($J94=YearStart,-$A94*(m2accum+SUMIF($J$5:$J$84,$J94,$L$5:$L$84)),-$A94*(VLOOKUP($J94-1,$AA$4:$AM$369,6)+SUMIF($J$5:$J$84,$J94,$L$5:$L$84)+SUMIF($J85:$J93,$J94,L85:L93))),IF($P94="2 N",IF(RIGHT($H94,1)="N",-OFFSET($J94,0,LEFT($H94,1)),-OFFSET($C94,0,LEFT($H94,1))),""))</f>
        <v/>
      </c>
      <c r="M94" s="161" t="str">
        <f ca="1">IF($H94="3 N",IF($J94=YearStart,-$A94*(m3accum+SUMIF($J$5:$J$84,$J94,$M$5:$M$84)),-$A94*(VLOOKUP($J94-1,$AA$4:$AM$369,9)+SUMIF($J$5:$J$84,$J94,$M$5:$M$84)+SUMIF($J85:$J93,$J94,M85:M93))),IF($P94="3 N",IF(RIGHT($H94,1)="N",-OFFSET($J94,0,LEFT($H94,1)),-OFFSET($C94,0,LEFT($H94,1))),""))</f>
        <v/>
      </c>
      <c r="N94" s="161" t="str">
        <f ca="1">IF($H94="4 N",IF($J94=YearStart,-$A94*(m4accum+SUMIF($J$5:$J$84,$J94,$N$5:$N$84)),-$A94*(VLOOKUP($J94-1,$AA$4:$AM$369,12)+SUMIF($J$5:$J$84,$J94,$N$5:$N$84)+SUMIF($J85:$J93,$J94,N85:N93))),IF($P94="4 N",IF(RIGHT($H94,1)="N",-OFFSET($J94,0,LEFT($H94,1)),-OFFSET($C94,0,LEFT($H94,1))),""))</f>
        <v/>
      </c>
      <c r="O94" s="162" t="str">
        <f ca="1">IF($H94="5 N",IF($J94=YearStart,-$A94*res,-$A94*(VLOOKUP($J94-1,$AA$4:$AM$369,13)+SUMIF($J$5:$J$84,$J94,$O$5:$O$84)+SUMIF($J85:$J93,$J94,O85:O93))),IF($P94="5 N",IF(RIGHT($H94,1)="N",-OFFSET($J94,0,LEFT($H94,1)),-OFFSET($C94,0,LEFT($H94,1))),""))</f>
        <v/>
      </c>
      <c r="P94" s="23" t="str">
        <f>IF('283'!F71&lt;&gt;"",IF(ISERROR(VALUE(LEFT(MID('283'!F71,4,3),1))),"5 N",MID('283'!F71,4,3)),"")</f>
        <v/>
      </c>
      <c r="Q94" s="4">
        <f t="shared" si="109"/>
        <v>45198</v>
      </c>
      <c r="R94" s="24">
        <f t="shared" si="110"/>
        <v>0</v>
      </c>
      <c r="S94" s="25">
        <f t="shared" si="111"/>
        <v>0</v>
      </c>
      <c r="T94" s="24">
        <f t="shared" si="112"/>
        <v>0</v>
      </c>
      <c r="U94" s="25">
        <f t="shared" si="113"/>
        <v>0</v>
      </c>
      <c r="V94" s="24">
        <f t="shared" si="114"/>
        <v>0</v>
      </c>
      <c r="W94" s="25">
        <f t="shared" si="115"/>
        <v>0</v>
      </c>
      <c r="X94" s="24">
        <f t="shared" si="116"/>
        <v>0</v>
      </c>
      <c r="Y94" s="26">
        <f t="shared" si="117"/>
        <v>0</v>
      </c>
      <c r="Z94" s="27">
        <f t="shared" si="118"/>
        <v>0</v>
      </c>
      <c r="AA94" s="28">
        <f t="shared" si="119"/>
        <v>45198</v>
      </c>
      <c r="AB94" s="24">
        <f t="shared" si="120"/>
        <v>0</v>
      </c>
      <c r="AC94" s="25">
        <f t="shared" si="121"/>
        <v>0</v>
      </c>
      <c r="AD94" s="28">
        <f t="shared" si="122"/>
        <v>45198</v>
      </c>
      <c r="AE94" s="24">
        <f t="shared" si="123"/>
        <v>0</v>
      </c>
      <c r="AF94" s="25">
        <f t="shared" si="124"/>
        <v>0</v>
      </c>
      <c r="AG94" s="28">
        <f t="shared" si="125"/>
        <v>45198</v>
      </c>
      <c r="AH94" s="24">
        <f t="shared" si="126"/>
        <v>0</v>
      </c>
      <c r="AI94" s="25">
        <f t="shared" si="127"/>
        <v>0</v>
      </c>
      <c r="AJ94" s="28">
        <f t="shared" si="128"/>
        <v>45198</v>
      </c>
      <c r="AK94" s="24">
        <f t="shared" si="129"/>
        <v>0</v>
      </c>
      <c r="AL94" s="25">
        <f t="shared" si="130"/>
        <v>0</v>
      </c>
      <c r="AM94" s="29">
        <f t="shared" si="131"/>
        <v>0</v>
      </c>
      <c r="AN94" s="28">
        <f t="shared" si="132"/>
        <v>45198</v>
      </c>
      <c r="AO94" s="373">
        <f t="shared" si="101"/>
        <v>0</v>
      </c>
      <c r="AP94" s="374">
        <f t="shared" si="102"/>
        <v>0</v>
      </c>
      <c r="AQ94" s="27">
        <f t="shared" si="103"/>
        <v>0</v>
      </c>
      <c r="AR94" s="25">
        <f t="shared" si="104"/>
        <v>0</v>
      </c>
      <c r="AS94" s="25">
        <f t="shared" si="105"/>
        <v>0</v>
      </c>
      <c r="AT94" s="25">
        <f t="shared" si="106"/>
        <v>0</v>
      </c>
      <c r="AU94" s="29">
        <f t="shared" si="163"/>
        <v>0</v>
      </c>
      <c r="AV94" s="27">
        <f t="shared" si="133"/>
        <v>0</v>
      </c>
      <c r="AW94" s="27">
        <f t="shared" si="134"/>
        <v>0</v>
      </c>
      <c r="AX94" s="27">
        <f t="shared" si="135"/>
        <v>0</v>
      </c>
      <c r="AY94" s="27">
        <f t="shared" si="136"/>
        <v>0</v>
      </c>
      <c r="BH94" s="2">
        <f t="shared" si="137"/>
        <v>0</v>
      </c>
      <c r="BI94" s="298" t="str">
        <f t="shared" si="138"/>
        <v/>
      </c>
      <c r="BJ94" s="298" t="str">
        <f t="shared" si="107"/>
        <v/>
      </c>
      <c r="BQ94" s="4">
        <f t="shared" si="139"/>
        <v>45198</v>
      </c>
      <c r="BR94" s="112">
        <f t="shared" si="140"/>
        <v>0</v>
      </c>
      <c r="BS94" s="112">
        <f t="shared" si="141"/>
        <v>0</v>
      </c>
      <c r="BT94" s="112">
        <f t="shared" si="142"/>
        <v>0</v>
      </c>
      <c r="BU94" s="112">
        <f t="shared" si="143"/>
        <v>0</v>
      </c>
      <c r="BV94" s="112">
        <f t="shared" si="144"/>
        <v>0</v>
      </c>
      <c r="CI94" s="4">
        <f t="shared" si="145"/>
        <v>45198</v>
      </c>
      <c r="CJ94" s="50">
        <f ca="1">IF($BH94=0,IF($CO94="",CJ93+R94,IF('283'!$K$251=1,VLOOKUP($CO94,PerStBal,2)+R94,IF('283'!$K$253=1,(VLOOKUP($CO94,PerPortion,2)*VLOOKUP($CO94,PerStBal,6))+R94,GL!BS94))),0)</f>
        <v>0</v>
      </c>
      <c r="CK94" s="425">
        <f ca="1">IF($BH94=0,IF($CO94="",CK93+T94,IF('283'!$K$251=1,IF(mname2&lt;&gt;"",VLOOKUP($CO94,PerStBal,3)+T94,0),IF('283'!$K$253=1,(VLOOKUP($CO94,PerPortion,3)*VLOOKUP($CO94,PerStBal,6))+T94,GL!BT94))),0)</f>
        <v>0</v>
      </c>
      <c r="CL94" s="425">
        <f ca="1">IF($BH94=0,IF($CO94="",CL93+V94,IF('283'!$K$251=1,IF(mname3&lt;&gt;"",VLOOKUP($CO94,PerStBal,4)+V94,0),IF('283'!$K$253=1,(VLOOKUP($CO94,PerPortion,4)*VLOOKUP($CO94,PerStBal,6))+V94,GL!BU94))),0)</f>
        <v>0</v>
      </c>
      <c r="CM94" s="425">
        <f ca="1">IF($BH94=0,IF($CO94="",CM93+X94,IF('283'!$K$251=1,IF(mname4&lt;&gt;"",VLOOKUP($CO94,PerStBal,5)+X94,0),IF('283'!$K$253=1,(VLOOKUP($CO94,PerPortion,5)*VLOOKUP($CO94,PerStBal,6))+X94,GL!BV94))),0)</f>
        <v>0</v>
      </c>
      <c r="CN94" s="50">
        <f t="shared" ca="1" si="146"/>
        <v>0</v>
      </c>
      <c r="CO94" s="4" t="str">
        <f t="shared" ca="1" si="147"/>
        <v/>
      </c>
      <c r="CP94" s="377">
        <f t="shared" si="108"/>
        <v>0</v>
      </c>
      <c r="DI94" s="4">
        <f t="shared" si="148"/>
        <v>45198</v>
      </c>
      <c r="DJ94" s="112">
        <f t="shared" ca="1" si="149"/>
        <v>0</v>
      </c>
      <c r="DK94" s="112">
        <f t="shared" si="150"/>
        <v>0</v>
      </c>
      <c r="DL94" s="4">
        <f t="shared" si="151"/>
        <v>45198</v>
      </c>
      <c r="DM94" s="112">
        <f t="shared" ca="1" si="152"/>
        <v>0</v>
      </c>
      <c r="DN94" s="112">
        <f t="shared" si="153"/>
        <v>0</v>
      </c>
      <c r="DO94" s="4">
        <f t="shared" si="154"/>
        <v>45198</v>
      </c>
      <c r="DP94" s="112">
        <f t="shared" ca="1" si="155"/>
        <v>0</v>
      </c>
      <c r="DQ94" s="112">
        <f t="shared" si="156"/>
        <v>0</v>
      </c>
      <c r="DR94" s="4">
        <f t="shared" si="157"/>
        <v>45198</v>
      </c>
      <c r="DS94" s="112">
        <f t="shared" ca="1" si="158"/>
        <v>0</v>
      </c>
      <c r="DT94" s="112">
        <f t="shared" si="159"/>
        <v>0</v>
      </c>
      <c r="DU94" s="4">
        <f t="shared" si="160"/>
        <v>45198</v>
      </c>
      <c r="DV94" s="112">
        <f t="shared" si="161"/>
        <v>0</v>
      </c>
      <c r="DW94" s="112">
        <f t="shared" si="162"/>
        <v>0</v>
      </c>
    </row>
    <row r="95" spans="1:127" ht="15.75" thickTop="1" x14ac:dyDescent="0.25">
      <c r="B95" s="49" t="s">
        <v>106</v>
      </c>
      <c r="C95" s="3">
        <f>[0]!yrstart</f>
        <v>45108</v>
      </c>
      <c r="D95" s="50">
        <f>m1pens</f>
        <v>0</v>
      </c>
      <c r="E95" s="50">
        <f>m2pens</f>
        <v>0</v>
      </c>
      <c r="F95" s="50">
        <f>m3pens</f>
        <v>0</v>
      </c>
      <c r="G95" s="51">
        <f>m4pens</f>
        <v>0</v>
      </c>
      <c r="H95" s="23" t="s">
        <v>107</v>
      </c>
      <c r="I95" s="52" t="s">
        <v>108</v>
      </c>
      <c r="J95" s="3">
        <f>[0]!yrstart</f>
        <v>45108</v>
      </c>
      <c r="K95" s="50">
        <f>m1accum</f>
        <v>0</v>
      </c>
      <c r="L95" s="50">
        <f>m2accum</f>
        <v>0</v>
      </c>
      <c r="M95" s="50">
        <f>m3accum</f>
        <v>0</v>
      </c>
      <c r="N95" s="50">
        <f>m4accum</f>
        <v>0</v>
      </c>
      <c r="O95" s="53">
        <f>res</f>
        <v>0</v>
      </c>
      <c r="P95" s="54"/>
      <c r="Q95" s="4">
        <f t="shared" si="109"/>
        <v>45199</v>
      </c>
      <c r="R95" s="24">
        <f t="shared" si="110"/>
        <v>0</v>
      </c>
      <c r="S95" s="25">
        <f t="shared" si="111"/>
        <v>0</v>
      </c>
      <c r="T95" s="24">
        <f t="shared" si="112"/>
        <v>0</v>
      </c>
      <c r="U95" s="25">
        <f t="shared" si="113"/>
        <v>0</v>
      </c>
      <c r="V95" s="24">
        <f t="shared" si="114"/>
        <v>0</v>
      </c>
      <c r="W95" s="25">
        <f t="shared" si="115"/>
        <v>0</v>
      </c>
      <c r="X95" s="24">
        <f t="shared" si="116"/>
        <v>0</v>
      </c>
      <c r="Y95" s="26">
        <f t="shared" si="117"/>
        <v>0</v>
      </c>
      <c r="Z95" s="27">
        <f t="shared" si="118"/>
        <v>0</v>
      </c>
      <c r="AA95" s="28">
        <f t="shared" si="119"/>
        <v>45199</v>
      </c>
      <c r="AB95" s="24">
        <f t="shared" si="120"/>
        <v>0</v>
      </c>
      <c r="AC95" s="25">
        <f t="shared" si="121"/>
        <v>0</v>
      </c>
      <c r="AD95" s="28">
        <f t="shared" si="122"/>
        <v>45199</v>
      </c>
      <c r="AE95" s="24">
        <f t="shared" si="123"/>
        <v>0</v>
      </c>
      <c r="AF95" s="25">
        <f t="shared" si="124"/>
        <v>0</v>
      </c>
      <c r="AG95" s="28">
        <f t="shared" si="125"/>
        <v>45199</v>
      </c>
      <c r="AH95" s="24">
        <f t="shared" si="126"/>
        <v>0</v>
      </c>
      <c r="AI95" s="25">
        <f t="shared" si="127"/>
        <v>0</v>
      </c>
      <c r="AJ95" s="28">
        <f t="shared" si="128"/>
        <v>45199</v>
      </c>
      <c r="AK95" s="24">
        <f t="shared" si="129"/>
        <v>0</v>
      </c>
      <c r="AL95" s="25">
        <f t="shared" si="130"/>
        <v>0</v>
      </c>
      <c r="AM95" s="29">
        <f t="shared" si="131"/>
        <v>0</v>
      </c>
      <c r="AN95" s="28">
        <f t="shared" si="132"/>
        <v>45199</v>
      </c>
      <c r="AO95" s="373">
        <f t="shared" si="101"/>
        <v>0</v>
      </c>
      <c r="AP95" s="374">
        <f t="shared" si="102"/>
        <v>0</v>
      </c>
      <c r="AQ95" s="27">
        <f t="shared" si="103"/>
        <v>0</v>
      </c>
      <c r="AR95" s="25">
        <f t="shared" si="104"/>
        <v>0</v>
      </c>
      <c r="AS95" s="25">
        <f t="shared" si="105"/>
        <v>0</v>
      </c>
      <c r="AT95" s="25">
        <f t="shared" si="106"/>
        <v>0</v>
      </c>
      <c r="AU95" s="29">
        <f t="shared" si="163"/>
        <v>0</v>
      </c>
      <c r="AV95" s="27">
        <f t="shared" si="133"/>
        <v>0</v>
      </c>
      <c r="AW95" s="27">
        <f t="shared" si="134"/>
        <v>0</v>
      </c>
      <c r="AX95" s="27">
        <f t="shared" si="135"/>
        <v>0</v>
      </c>
      <c r="AY95" s="27">
        <f t="shared" si="136"/>
        <v>0</v>
      </c>
      <c r="BH95" s="2">
        <f t="shared" si="137"/>
        <v>0</v>
      </c>
      <c r="BI95" s="298" t="str">
        <f t="shared" si="138"/>
        <v/>
      </c>
      <c r="BJ95" s="298" t="str">
        <f t="shared" si="107"/>
        <v/>
      </c>
      <c r="BQ95" s="4">
        <f t="shared" si="139"/>
        <v>45199</v>
      </c>
      <c r="BR95" s="112">
        <f t="shared" si="140"/>
        <v>0</v>
      </c>
      <c r="BS95" s="112">
        <f t="shared" si="141"/>
        <v>0</v>
      </c>
      <c r="BT95" s="112">
        <f t="shared" si="142"/>
        <v>0</v>
      </c>
      <c r="BU95" s="112">
        <f t="shared" si="143"/>
        <v>0</v>
      </c>
      <c r="BV95" s="112">
        <f t="shared" si="144"/>
        <v>0</v>
      </c>
      <c r="CI95" s="4">
        <f t="shared" si="145"/>
        <v>45199</v>
      </c>
      <c r="CJ95" s="50">
        <f ca="1">IF($BH95=0,IF($CO95="",CJ94+R95,IF('283'!$K$251=1,VLOOKUP($CO95,PerStBal,2)+R95,IF('283'!$K$253=1,(VLOOKUP($CO95,PerPortion,2)*VLOOKUP($CO95,PerStBal,6))+R95,GL!BS95))),0)</f>
        <v>0</v>
      </c>
      <c r="CK95" s="425">
        <f ca="1">IF($BH95=0,IF($CO95="",CK94+T95,IF('283'!$K$251=1,IF(mname2&lt;&gt;"",VLOOKUP($CO95,PerStBal,3)+T95,0),IF('283'!$K$253=1,(VLOOKUP($CO95,PerPortion,3)*VLOOKUP($CO95,PerStBal,6))+T95,GL!BT95))),0)</f>
        <v>0</v>
      </c>
      <c r="CL95" s="425">
        <f ca="1">IF($BH95=0,IF($CO95="",CL94+V95,IF('283'!$K$251=1,IF(mname3&lt;&gt;"",VLOOKUP($CO95,PerStBal,4)+V95,0),IF('283'!$K$253=1,(VLOOKUP($CO95,PerPortion,4)*VLOOKUP($CO95,PerStBal,6))+V95,GL!BU95))),0)</f>
        <v>0</v>
      </c>
      <c r="CM95" s="425">
        <f ca="1">IF($BH95=0,IF($CO95="",CM94+X95,IF('283'!$K$251=1,IF(mname4&lt;&gt;"",VLOOKUP($CO95,PerStBal,5)+X95,0),IF('283'!$K$253=1,(VLOOKUP($CO95,PerPortion,5)*VLOOKUP($CO95,PerStBal,6))+X95,GL!BV95))),0)</f>
        <v>0</v>
      </c>
      <c r="CN95" s="50">
        <f t="shared" ca="1" si="146"/>
        <v>0</v>
      </c>
      <c r="CO95" s="4" t="str">
        <f t="shared" ca="1" si="147"/>
        <v/>
      </c>
      <c r="CP95" s="377">
        <f t="shared" si="108"/>
        <v>0</v>
      </c>
      <c r="DI95" s="4">
        <f t="shared" si="148"/>
        <v>45199</v>
      </c>
      <c r="DJ95" s="112">
        <f t="shared" ca="1" si="149"/>
        <v>0</v>
      </c>
      <c r="DK95" s="112">
        <f t="shared" si="150"/>
        <v>0</v>
      </c>
      <c r="DL95" s="4">
        <f t="shared" si="151"/>
        <v>45199</v>
      </c>
      <c r="DM95" s="112">
        <f t="shared" ca="1" si="152"/>
        <v>0</v>
      </c>
      <c r="DN95" s="112">
        <f t="shared" si="153"/>
        <v>0</v>
      </c>
      <c r="DO95" s="4">
        <f t="shared" si="154"/>
        <v>45199</v>
      </c>
      <c r="DP95" s="112">
        <f t="shared" ca="1" si="155"/>
        <v>0</v>
      </c>
      <c r="DQ95" s="112">
        <f t="shared" si="156"/>
        <v>0</v>
      </c>
      <c r="DR95" s="4">
        <f t="shared" si="157"/>
        <v>45199</v>
      </c>
      <c r="DS95" s="112">
        <f t="shared" ca="1" si="158"/>
        <v>0</v>
      </c>
      <c r="DT95" s="112">
        <f t="shared" si="159"/>
        <v>0</v>
      </c>
      <c r="DU95" s="4">
        <f t="shared" si="160"/>
        <v>45199</v>
      </c>
      <c r="DV95" s="112">
        <f t="shared" si="161"/>
        <v>0</v>
      </c>
      <c r="DW95" s="112">
        <f t="shared" si="162"/>
        <v>0</v>
      </c>
    </row>
    <row r="96" spans="1:127" x14ac:dyDescent="0.25">
      <c r="B96" s="49"/>
      <c r="C96" s="3"/>
      <c r="D96" s="4"/>
      <c r="E96" s="4"/>
      <c r="F96" s="4"/>
      <c r="G96" s="55"/>
      <c r="H96" s="23" t="s">
        <v>109</v>
      </c>
      <c r="I96" s="52"/>
      <c r="J96" s="3"/>
      <c r="K96" s="4"/>
      <c r="L96" s="4"/>
      <c r="M96" s="4"/>
      <c r="N96" s="4"/>
      <c r="O96" s="56"/>
      <c r="P96" s="54"/>
      <c r="Q96" s="4">
        <f t="shared" si="109"/>
        <v>45200</v>
      </c>
      <c r="R96" s="24">
        <f t="shared" si="110"/>
        <v>0</v>
      </c>
      <c r="S96" s="25">
        <f t="shared" si="111"/>
        <v>0</v>
      </c>
      <c r="T96" s="24">
        <f t="shared" si="112"/>
        <v>0</v>
      </c>
      <c r="U96" s="25">
        <f t="shared" si="113"/>
        <v>0</v>
      </c>
      <c r="V96" s="24">
        <f t="shared" si="114"/>
        <v>0</v>
      </c>
      <c r="W96" s="25">
        <f t="shared" si="115"/>
        <v>0</v>
      </c>
      <c r="X96" s="24">
        <f t="shared" si="116"/>
        <v>0</v>
      </c>
      <c r="Y96" s="26">
        <f t="shared" si="117"/>
        <v>0</v>
      </c>
      <c r="Z96" s="27">
        <f t="shared" si="118"/>
        <v>0</v>
      </c>
      <c r="AA96" s="28">
        <f t="shared" si="119"/>
        <v>45200</v>
      </c>
      <c r="AB96" s="24">
        <f t="shared" si="120"/>
        <v>0</v>
      </c>
      <c r="AC96" s="25">
        <f t="shared" si="121"/>
        <v>0</v>
      </c>
      <c r="AD96" s="28">
        <f t="shared" si="122"/>
        <v>45200</v>
      </c>
      <c r="AE96" s="24">
        <f t="shared" si="123"/>
        <v>0</v>
      </c>
      <c r="AF96" s="25">
        <f t="shared" si="124"/>
        <v>0</v>
      </c>
      <c r="AG96" s="28">
        <f t="shared" si="125"/>
        <v>45200</v>
      </c>
      <c r="AH96" s="24">
        <f t="shared" si="126"/>
        <v>0</v>
      </c>
      <c r="AI96" s="25">
        <f t="shared" si="127"/>
        <v>0</v>
      </c>
      <c r="AJ96" s="28">
        <f t="shared" si="128"/>
        <v>45200</v>
      </c>
      <c r="AK96" s="24">
        <f t="shared" si="129"/>
        <v>0</v>
      </c>
      <c r="AL96" s="25">
        <f t="shared" si="130"/>
        <v>0</v>
      </c>
      <c r="AM96" s="29">
        <f t="shared" si="131"/>
        <v>0</v>
      </c>
      <c r="AN96" s="28">
        <f t="shared" si="132"/>
        <v>45200</v>
      </c>
      <c r="AO96" s="373">
        <f t="shared" si="101"/>
        <v>0</v>
      </c>
      <c r="AP96" s="374">
        <f t="shared" si="102"/>
        <v>0</v>
      </c>
      <c r="AQ96" s="27">
        <f t="shared" si="103"/>
        <v>0</v>
      </c>
      <c r="AR96" s="25">
        <f t="shared" si="104"/>
        <v>0</v>
      </c>
      <c r="AS96" s="25">
        <f t="shared" si="105"/>
        <v>0</v>
      </c>
      <c r="AT96" s="25">
        <f t="shared" si="106"/>
        <v>0</v>
      </c>
      <c r="AU96" s="29">
        <f t="shared" si="163"/>
        <v>0</v>
      </c>
      <c r="AV96" s="27">
        <f t="shared" si="133"/>
        <v>0</v>
      </c>
      <c r="AW96" s="27">
        <f t="shared" si="134"/>
        <v>0</v>
      </c>
      <c r="AX96" s="27">
        <f t="shared" si="135"/>
        <v>0</v>
      </c>
      <c r="AY96" s="27">
        <f t="shared" si="136"/>
        <v>0</v>
      </c>
      <c r="BH96" s="2">
        <f t="shared" si="137"/>
        <v>0</v>
      </c>
      <c r="BI96" s="298" t="str">
        <f t="shared" si="138"/>
        <v/>
      </c>
      <c r="BJ96" s="298" t="str">
        <f t="shared" si="107"/>
        <v/>
      </c>
      <c r="BQ96" s="4">
        <f t="shared" si="139"/>
        <v>45200</v>
      </c>
      <c r="BR96" s="112">
        <f t="shared" si="140"/>
        <v>0</v>
      </c>
      <c r="BS96" s="112">
        <f t="shared" si="141"/>
        <v>0</v>
      </c>
      <c r="BT96" s="112">
        <f t="shared" si="142"/>
        <v>0</v>
      </c>
      <c r="BU96" s="112">
        <f t="shared" si="143"/>
        <v>0</v>
      </c>
      <c r="BV96" s="112">
        <f t="shared" si="144"/>
        <v>0</v>
      </c>
      <c r="CI96" s="4">
        <f t="shared" si="145"/>
        <v>45200</v>
      </c>
      <c r="CJ96" s="50">
        <f ca="1">IF($BH96=0,IF($CO96="",CJ95+R96,IF('283'!$K$251=1,VLOOKUP($CO96,PerStBal,2)+R96,IF('283'!$K$253=1,(VLOOKUP($CO96,PerPortion,2)*VLOOKUP($CO96,PerStBal,6))+R96,GL!BS96))),0)</f>
        <v>0</v>
      </c>
      <c r="CK96" s="425">
        <f ca="1">IF($BH96=0,IF($CO96="",CK95+T96,IF('283'!$K$251=1,IF(mname2&lt;&gt;"",VLOOKUP($CO96,PerStBal,3)+T96,0),IF('283'!$K$253=1,(VLOOKUP($CO96,PerPortion,3)*VLOOKUP($CO96,PerStBal,6))+T96,GL!BT96))),0)</f>
        <v>0</v>
      </c>
      <c r="CL96" s="425">
        <f ca="1">IF($BH96=0,IF($CO96="",CL95+V96,IF('283'!$K$251=1,IF(mname3&lt;&gt;"",VLOOKUP($CO96,PerStBal,4)+V96,0),IF('283'!$K$253=1,(VLOOKUP($CO96,PerPortion,4)*VLOOKUP($CO96,PerStBal,6))+V96,GL!BU96))),0)</f>
        <v>0</v>
      </c>
      <c r="CM96" s="425">
        <f ca="1">IF($BH96=0,IF($CO96="",CM95+X96,IF('283'!$K$251=1,IF(mname4&lt;&gt;"",VLOOKUP($CO96,PerStBal,5)+X96,0),IF('283'!$K$253=1,(VLOOKUP($CO96,PerPortion,5)*VLOOKUP($CO96,PerStBal,6))+X96,GL!BV96))),0)</f>
        <v>0</v>
      </c>
      <c r="CN96" s="50">
        <f t="shared" ca="1" si="146"/>
        <v>0</v>
      </c>
      <c r="CO96" s="4" t="str">
        <f t="shared" ca="1" si="147"/>
        <v/>
      </c>
      <c r="CP96" s="377">
        <f t="shared" si="108"/>
        <v>0</v>
      </c>
      <c r="DI96" s="4">
        <f t="shared" si="148"/>
        <v>45200</v>
      </c>
      <c r="DJ96" s="112">
        <f t="shared" ca="1" si="149"/>
        <v>0</v>
      </c>
      <c r="DK96" s="112">
        <f t="shared" si="150"/>
        <v>0</v>
      </c>
      <c r="DL96" s="4">
        <f t="shared" si="151"/>
        <v>45200</v>
      </c>
      <c r="DM96" s="112">
        <f t="shared" ca="1" si="152"/>
        <v>0</v>
      </c>
      <c r="DN96" s="112">
        <f t="shared" si="153"/>
        <v>0</v>
      </c>
      <c r="DO96" s="4">
        <f t="shared" si="154"/>
        <v>45200</v>
      </c>
      <c r="DP96" s="112">
        <f t="shared" ca="1" si="155"/>
        <v>0</v>
      </c>
      <c r="DQ96" s="112">
        <f t="shared" si="156"/>
        <v>0</v>
      </c>
      <c r="DR96" s="4">
        <f t="shared" si="157"/>
        <v>45200</v>
      </c>
      <c r="DS96" s="112">
        <f t="shared" ca="1" si="158"/>
        <v>0</v>
      </c>
      <c r="DT96" s="112">
        <f t="shared" si="159"/>
        <v>0</v>
      </c>
      <c r="DU96" s="4">
        <f t="shared" si="160"/>
        <v>45200</v>
      </c>
      <c r="DV96" s="112">
        <f t="shared" si="161"/>
        <v>0</v>
      </c>
      <c r="DW96" s="112">
        <f t="shared" si="162"/>
        <v>0</v>
      </c>
    </row>
    <row r="97" spans="1:127" x14ac:dyDescent="0.25">
      <c r="B97" s="49"/>
      <c r="C97" s="3"/>
      <c r="D97" s="4"/>
      <c r="E97" s="4"/>
      <c r="F97" s="4"/>
      <c r="G97" s="55"/>
      <c r="H97" s="23" t="s">
        <v>110</v>
      </c>
      <c r="I97" s="52"/>
      <c r="J97" s="3"/>
      <c r="K97" s="4"/>
      <c r="L97" s="4"/>
      <c r="M97" s="4"/>
      <c r="N97" s="4"/>
      <c r="O97" s="56"/>
      <c r="P97" s="54"/>
      <c r="Q97" s="4">
        <f t="shared" si="109"/>
        <v>45201</v>
      </c>
      <c r="R97" s="24">
        <f t="shared" si="110"/>
        <v>0</v>
      </c>
      <c r="S97" s="25">
        <f t="shared" si="111"/>
        <v>0</v>
      </c>
      <c r="T97" s="24">
        <f t="shared" si="112"/>
        <v>0</v>
      </c>
      <c r="U97" s="25">
        <f t="shared" si="113"/>
        <v>0</v>
      </c>
      <c r="V97" s="24">
        <f t="shared" si="114"/>
        <v>0</v>
      </c>
      <c r="W97" s="25">
        <f t="shared" si="115"/>
        <v>0</v>
      </c>
      <c r="X97" s="24">
        <f t="shared" si="116"/>
        <v>0</v>
      </c>
      <c r="Y97" s="26">
        <f t="shared" si="117"/>
        <v>0</v>
      </c>
      <c r="Z97" s="27">
        <f t="shared" si="118"/>
        <v>0</v>
      </c>
      <c r="AA97" s="28">
        <f t="shared" si="119"/>
        <v>45201</v>
      </c>
      <c r="AB97" s="24">
        <f t="shared" si="120"/>
        <v>0</v>
      </c>
      <c r="AC97" s="25">
        <f t="shared" si="121"/>
        <v>0</v>
      </c>
      <c r="AD97" s="28">
        <f t="shared" si="122"/>
        <v>45201</v>
      </c>
      <c r="AE97" s="24">
        <f t="shared" si="123"/>
        <v>0</v>
      </c>
      <c r="AF97" s="25">
        <f t="shared" si="124"/>
        <v>0</v>
      </c>
      <c r="AG97" s="28">
        <f t="shared" si="125"/>
        <v>45201</v>
      </c>
      <c r="AH97" s="24">
        <f t="shared" si="126"/>
        <v>0</v>
      </c>
      <c r="AI97" s="25">
        <f t="shared" si="127"/>
        <v>0</v>
      </c>
      <c r="AJ97" s="28">
        <f t="shared" si="128"/>
        <v>45201</v>
      </c>
      <c r="AK97" s="24">
        <f t="shared" si="129"/>
        <v>0</v>
      </c>
      <c r="AL97" s="25">
        <f t="shared" si="130"/>
        <v>0</v>
      </c>
      <c r="AM97" s="29">
        <f t="shared" si="131"/>
        <v>0</v>
      </c>
      <c r="AN97" s="28">
        <f t="shared" si="132"/>
        <v>45201</v>
      </c>
      <c r="AO97" s="373">
        <f t="shared" si="101"/>
        <v>0</v>
      </c>
      <c r="AP97" s="374">
        <f t="shared" si="102"/>
        <v>0</v>
      </c>
      <c r="AQ97" s="27">
        <f t="shared" si="103"/>
        <v>0</v>
      </c>
      <c r="AR97" s="25">
        <f t="shared" si="104"/>
        <v>0</v>
      </c>
      <c r="AS97" s="25">
        <f t="shared" si="105"/>
        <v>0</v>
      </c>
      <c r="AT97" s="25">
        <f t="shared" si="106"/>
        <v>0</v>
      </c>
      <c r="AU97" s="29">
        <f t="shared" si="163"/>
        <v>0</v>
      </c>
      <c r="AV97" s="27">
        <f t="shared" si="133"/>
        <v>0</v>
      </c>
      <c r="AW97" s="27">
        <f t="shared" si="134"/>
        <v>0</v>
      </c>
      <c r="AX97" s="27">
        <f t="shared" si="135"/>
        <v>0</v>
      </c>
      <c r="AY97" s="27">
        <f t="shared" si="136"/>
        <v>0</v>
      </c>
      <c r="BH97" s="2">
        <f t="shared" si="137"/>
        <v>0</v>
      </c>
      <c r="BI97" s="298" t="str">
        <f t="shared" si="138"/>
        <v/>
      </c>
      <c r="BJ97" s="298" t="str">
        <f t="shared" si="107"/>
        <v/>
      </c>
      <c r="BQ97" s="4">
        <f t="shared" si="139"/>
        <v>45201</v>
      </c>
      <c r="BR97" s="112">
        <f t="shared" si="140"/>
        <v>0</v>
      </c>
      <c r="BS97" s="112">
        <f t="shared" si="141"/>
        <v>0</v>
      </c>
      <c r="BT97" s="112">
        <f t="shared" si="142"/>
        <v>0</v>
      </c>
      <c r="BU97" s="112">
        <f t="shared" si="143"/>
        <v>0</v>
      </c>
      <c r="BV97" s="112">
        <f t="shared" si="144"/>
        <v>0</v>
      </c>
      <c r="CI97" s="4">
        <f t="shared" si="145"/>
        <v>45201</v>
      </c>
      <c r="CJ97" s="50">
        <f ca="1">IF($BH97=0,IF($CO97="",CJ96+R97,IF('283'!$K$251=1,VLOOKUP($CO97,PerStBal,2)+R97,IF('283'!$K$253=1,(VLOOKUP($CO97,PerPortion,2)*VLOOKUP($CO97,PerStBal,6))+R97,GL!BS97))),0)</f>
        <v>0</v>
      </c>
      <c r="CK97" s="425">
        <f ca="1">IF($BH97=0,IF($CO97="",CK96+T97,IF('283'!$K$251=1,IF(mname2&lt;&gt;"",VLOOKUP($CO97,PerStBal,3)+T97,0),IF('283'!$K$253=1,(VLOOKUP($CO97,PerPortion,3)*VLOOKUP($CO97,PerStBal,6))+T97,GL!BT97))),0)</f>
        <v>0</v>
      </c>
      <c r="CL97" s="425">
        <f ca="1">IF($BH97=0,IF($CO97="",CL96+V97,IF('283'!$K$251=1,IF(mname3&lt;&gt;"",VLOOKUP($CO97,PerStBal,4)+V97,0),IF('283'!$K$253=1,(VLOOKUP($CO97,PerPortion,4)*VLOOKUP($CO97,PerStBal,6))+V97,GL!BU97))),0)</f>
        <v>0</v>
      </c>
      <c r="CM97" s="425">
        <f ca="1">IF($BH97=0,IF($CO97="",CM96+X97,IF('283'!$K$251=1,IF(mname4&lt;&gt;"",VLOOKUP($CO97,PerStBal,5)+X97,0),IF('283'!$K$253=1,(VLOOKUP($CO97,PerPortion,5)*VLOOKUP($CO97,PerStBal,6))+X97,GL!BV97))),0)</f>
        <v>0</v>
      </c>
      <c r="CN97" s="50">
        <f t="shared" ca="1" si="146"/>
        <v>0</v>
      </c>
      <c r="CO97" s="4" t="str">
        <f t="shared" ca="1" si="147"/>
        <v/>
      </c>
      <c r="CP97" s="377">
        <f t="shared" si="108"/>
        <v>0</v>
      </c>
      <c r="DI97" s="4">
        <f t="shared" si="148"/>
        <v>45201</v>
      </c>
      <c r="DJ97" s="112">
        <f t="shared" ca="1" si="149"/>
        <v>0</v>
      </c>
      <c r="DK97" s="112">
        <f t="shared" si="150"/>
        <v>0</v>
      </c>
      <c r="DL97" s="4">
        <f t="shared" si="151"/>
        <v>45201</v>
      </c>
      <c r="DM97" s="112">
        <f t="shared" ca="1" si="152"/>
        <v>0</v>
      </c>
      <c r="DN97" s="112">
        <f t="shared" si="153"/>
        <v>0</v>
      </c>
      <c r="DO97" s="4">
        <f t="shared" si="154"/>
        <v>45201</v>
      </c>
      <c r="DP97" s="112">
        <f t="shared" ca="1" si="155"/>
        <v>0</v>
      </c>
      <c r="DQ97" s="112">
        <f t="shared" si="156"/>
        <v>0</v>
      </c>
      <c r="DR97" s="4">
        <f t="shared" si="157"/>
        <v>45201</v>
      </c>
      <c r="DS97" s="112">
        <f t="shared" ca="1" si="158"/>
        <v>0</v>
      </c>
      <c r="DT97" s="112">
        <f t="shared" si="159"/>
        <v>0</v>
      </c>
      <c r="DU97" s="4">
        <f t="shared" si="160"/>
        <v>45201</v>
      </c>
      <c r="DV97" s="112">
        <f t="shared" si="161"/>
        <v>0</v>
      </c>
      <c r="DW97" s="112">
        <f t="shared" si="162"/>
        <v>0</v>
      </c>
    </row>
    <row r="98" spans="1:127" ht="15.75" thickBot="1" x14ac:dyDescent="0.3">
      <c r="B98" s="57"/>
      <c r="C98" s="48"/>
      <c r="D98" s="58"/>
      <c r="E98" s="58"/>
      <c r="F98" s="58"/>
      <c r="G98" s="59"/>
      <c r="H98" s="23" t="s">
        <v>111</v>
      </c>
      <c r="I98" s="52"/>
      <c r="J98" s="3"/>
      <c r="K98" s="4"/>
      <c r="L98" s="4"/>
      <c r="M98" s="4"/>
      <c r="N98" s="4"/>
      <c r="O98" s="56"/>
      <c r="P98" s="54"/>
      <c r="Q98" s="4">
        <f t="shared" si="109"/>
        <v>45202</v>
      </c>
      <c r="R98" s="24">
        <f t="shared" si="110"/>
        <v>0</v>
      </c>
      <c r="S98" s="25">
        <f t="shared" si="111"/>
        <v>0</v>
      </c>
      <c r="T98" s="24">
        <f t="shared" si="112"/>
        <v>0</v>
      </c>
      <c r="U98" s="25">
        <f t="shared" si="113"/>
        <v>0</v>
      </c>
      <c r="V98" s="24">
        <f t="shared" si="114"/>
        <v>0</v>
      </c>
      <c r="W98" s="25">
        <f t="shared" si="115"/>
        <v>0</v>
      </c>
      <c r="X98" s="24">
        <f t="shared" si="116"/>
        <v>0</v>
      </c>
      <c r="Y98" s="26">
        <f t="shared" si="117"/>
        <v>0</v>
      </c>
      <c r="Z98" s="27">
        <f t="shared" si="118"/>
        <v>0</v>
      </c>
      <c r="AA98" s="28">
        <f t="shared" si="119"/>
        <v>45202</v>
      </c>
      <c r="AB98" s="24">
        <f t="shared" si="120"/>
        <v>0</v>
      </c>
      <c r="AC98" s="25">
        <f t="shared" si="121"/>
        <v>0</v>
      </c>
      <c r="AD98" s="28">
        <f t="shared" si="122"/>
        <v>45202</v>
      </c>
      <c r="AE98" s="24">
        <f t="shared" si="123"/>
        <v>0</v>
      </c>
      <c r="AF98" s="25">
        <f t="shared" si="124"/>
        <v>0</v>
      </c>
      <c r="AG98" s="28">
        <f t="shared" si="125"/>
        <v>45202</v>
      </c>
      <c r="AH98" s="24">
        <f t="shared" si="126"/>
        <v>0</v>
      </c>
      <c r="AI98" s="25">
        <f t="shared" si="127"/>
        <v>0</v>
      </c>
      <c r="AJ98" s="28">
        <f t="shared" si="128"/>
        <v>45202</v>
      </c>
      <c r="AK98" s="24">
        <f t="shared" si="129"/>
        <v>0</v>
      </c>
      <c r="AL98" s="25">
        <f t="shared" si="130"/>
        <v>0</v>
      </c>
      <c r="AM98" s="29">
        <f t="shared" si="131"/>
        <v>0</v>
      </c>
      <c r="AN98" s="28">
        <f t="shared" si="132"/>
        <v>45202</v>
      </c>
      <c r="AO98" s="373">
        <f t="shared" si="101"/>
        <v>0</v>
      </c>
      <c r="AP98" s="374">
        <f t="shared" si="102"/>
        <v>0</v>
      </c>
      <c r="AQ98" s="27">
        <f t="shared" si="103"/>
        <v>0</v>
      </c>
      <c r="AR98" s="25">
        <f t="shared" si="104"/>
        <v>0</v>
      </c>
      <c r="AS98" s="25">
        <f t="shared" si="105"/>
        <v>0</v>
      </c>
      <c r="AT98" s="25">
        <f t="shared" si="106"/>
        <v>0</v>
      </c>
      <c r="AU98" s="29">
        <f t="shared" si="163"/>
        <v>0</v>
      </c>
      <c r="AV98" s="27">
        <f t="shared" si="133"/>
        <v>0</v>
      </c>
      <c r="AW98" s="27">
        <f t="shared" si="134"/>
        <v>0</v>
      </c>
      <c r="AX98" s="27">
        <f t="shared" si="135"/>
        <v>0</v>
      </c>
      <c r="AY98" s="27">
        <f t="shared" si="136"/>
        <v>0</v>
      </c>
      <c r="BH98" s="2">
        <f t="shared" si="137"/>
        <v>0</v>
      </c>
      <c r="BI98" s="298" t="str">
        <f t="shared" si="138"/>
        <v/>
      </c>
      <c r="BJ98" s="298" t="str">
        <f t="shared" si="107"/>
        <v/>
      </c>
      <c r="BQ98" s="4">
        <f t="shared" si="139"/>
        <v>45202</v>
      </c>
      <c r="BR98" s="112">
        <f t="shared" si="140"/>
        <v>0</v>
      </c>
      <c r="BS98" s="112">
        <f t="shared" si="141"/>
        <v>0</v>
      </c>
      <c r="BT98" s="112">
        <f t="shared" si="142"/>
        <v>0</v>
      </c>
      <c r="BU98" s="112">
        <f t="shared" si="143"/>
        <v>0</v>
      </c>
      <c r="BV98" s="112">
        <f t="shared" si="144"/>
        <v>0</v>
      </c>
      <c r="CI98" s="4">
        <f t="shared" si="145"/>
        <v>45202</v>
      </c>
      <c r="CJ98" s="50">
        <f ca="1">IF($BH98=0,IF($CO98="",CJ97+R98,IF('283'!$K$251=1,VLOOKUP($CO98,PerStBal,2)+R98,IF('283'!$K$253=1,(VLOOKUP($CO98,PerPortion,2)*VLOOKUP($CO98,PerStBal,6))+R98,GL!BS98))),0)</f>
        <v>0</v>
      </c>
      <c r="CK98" s="425">
        <f ca="1">IF($BH98=0,IF($CO98="",CK97+T98,IF('283'!$K$251=1,IF(mname2&lt;&gt;"",VLOOKUP($CO98,PerStBal,3)+T98,0),IF('283'!$K$253=1,(VLOOKUP($CO98,PerPortion,3)*VLOOKUP($CO98,PerStBal,6))+T98,GL!BT98))),0)</f>
        <v>0</v>
      </c>
      <c r="CL98" s="425">
        <f ca="1">IF($BH98=0,IF($CO98="",CL97+V98,IF('283'!$K$251=1,IF(mname3&lt;&gt;"",VLOOKUP($CO98,PerStBal,4)+V98,0),IF('283'!$K$253=1,(VLOOKUP($CO98,PerPortion,4)*VLOOKUP($CO98,PerStBal,6))+V98,GL!BU98))),0)</f>
        <v>0</v>
      </c>
      <c r="CM98" s="425">
        <f ca="1">IF($BH98=0,IF($CO98="",CM97+X98,IF('283'!$K$251=1,IF(mname4&lt;&gt;"",VLOOKUP($CO98,PerStBal,5)+X98,0),IF('283'!$K$253=1,(VLOOKUP($CO98,PerPortion,5)*VLOOKUP($CO98,PerStBal,6))+X98,GL!BV98))),0)</f>
        <v>0</v>
      </c>
      <c r="CN98" s="50">
        <f t="shared" ca="1" si="146"/>
        <v>0</v>
      </c>
      <c r="CO98" s="4" t="str">
        <f t="shared" ca="1" si="147"/>
        <v/>
      </c>
      <c r="CP98" s="377">
        <f t="shared" si="108"/>
        <v>0</v>
      </c>
      <c r="DI98" s="4">
        <f t="shared" si="148"/>
        <v>45202</v>
      </c>
      <c r="DJ98" s="112">
        <f t="shared" ca="1" si="149"/>
        <v>0</v>
      </c>
      <c r="DK98" s="112">
        <f t="shared" si="150"/>
        <v>0</v>
      </c>
      <c r="DL98" s="4">
        <f t="shared" si="151"/>
        <v>45202</v>
      </c>
      <c r="DM98" s="112">
        <f t="shared" ca="1" si="152"/>
        <v>0</v>
      </c>
      <c r="DN98" s="112">
        <f t="shared" si="153"/>
        <v>0</v>
      </c>
      <c r="DO98" s="4">
        <f t="shared" si="154"/>
        <v>45202</v>
      </c>
      <c r="DP98" s="112">
        <f t="shared" ca="1" si="155"/>
        <v>0</v>
      </c>
      <c r="DQ98" s="112">
        <f t="shared" si="156"/>
        <v>0</v>
      </c>
      <c r="DR98" s="4">
        <f t="shared" si="157"/>
        <v>45202</v>
      </c>
      <c r="DS98" s="112">
        <f t="shared" ca="1" si="158"/>
        <v>0</v>
      </c>
      <c r="DT98" s="112">
        <f t="shared" si="159"/>
        <v>0</v>
      </c>
      <c r="DU98" s="4">
        <f t="shared" si="160"/>
        <v>45202</v>
      </c>
      <c r="DV98" s="112">
        <f t="shared" si="161"/>
        <v>0</v>
      </c>
      <c r="DW98" s="112">
        <f t="shared" si="162"/>
        <v>0</v>
      </c>
    </row>
    <row r="99" spans="1:127" ht="16.5" thickTop="1" thickBot="1" x14ac:dyDescent="0.3">
      <c r="C99" s="3" t="s">
        <v>112</v>
      </c>
      <c r="D99" s="4">
        <f>IF(COUNTBLANK(C231:C241)&lt;11,SMALL(C231:C241,1),$C95)</f>
        <v>45108</v>
      </c>
      <c r="E99" s="4">
        <f>IF(COUNTBLANK(D231:D241)&lt;11,SMALL(D231:D241,1),$C95)</f>
        <v>45108</v>
      </c>
      <c r="F99" s="4">
        <f>IF(COUNTBLANK(E231:E241)&lt;11,SMALL(E231:E241,1),$C95)</f>
        <v>45108</v>
      </c>
      <c r="G99" s="4">
        <f>IF(COUNTBLANK(F231:F241)&lt;11,SMALL(F231:F241,1),$C95)</f>
        <v>45108</v>
      </c>
      <c r="H99" s="23" t="s">
        <v>113</v>
      </c>
      <c r="I99" s="60"/>
      <c r="J99" s="61"/>
      <c r="K99" s="62"/>
      <c r="L99" s="62"/>
      <c r="M99" s="62"/>
      <c r="N99" s="62"/>
      <c r="O99" s="63"/>
      <c r="P99" s="54"/>
      <c r="Q99" s="4">
        <f t="shared" si="109"/>
        <v>45203</v>
      </c>
      <c r="R99" s="24">
        <f t="shared" si="110"/>
        <v>0</v>
      </c>
      <c r="S99" s="25">
        <f t="shared" si="111"/>
        <v>0</v>
      </c>
      <c r="T99" s="24">
        <f t="shared" si="112"/>
        <v>0</v>
      </c>
      <c r="U99" s="25">
        <f t="shared" si="113"/>
        <v>0</v>
      </c>
      <c r="V99" s="24">
        <f t="shared" si="114"/>
        <v>0</v>
      </c>
      <c r="W99" s="25">
        <f t="shared" si="115"/>
        <v>0</v>
      </c>
      <c r="X99" s="24">
        <f t="shared" si="116"/>
        <v>0</v>
      </c>
      <c r="Y99" s="26">
        <f t="shared" si="117"/>
        <v>0</v>
      </c>
      <c r="Z99" s="27">
        <f t="shared" si="118"/>
        <v>0</v>
      </c>
      <c r="AA99" s="28">
        <f t="shared" si="119"/>
        <v>45203</v>
      </c>
      <c r="AB99" s="24">
        <f t="shared" si="120"/>
        <v>0</v>
      </c>
      <c r="AC99" s="25">
        <f t="shared" si="121"/>
        <v>0</v>
      </c>
      <c r="AD99" s="28">
        <f t="shared" si="122"/>
        <v>45203</v>
      </c>
      <c r="AE99" s="24">
        <f t="shared" si="123"/>
        <v>0</v>
      </c>
      <c r="AF99" s="25">
        <f t="shared" si="124"/>
        <v>0</v>
      </c>
      <c r="AG99" s="28">
        <f t="shared" si="125"/>
        <v>45203</v>
      </c>
      <c r="AH99" s="24">
        <f t="shared" si="126"/>
        <v>0</v>
      </c>
      <c r="AI99" s="25">
        <f t="shared" si="127"/>
        <v>0</v>
      </c>
      <c r="AJ99" s="28">
        <f t="shared" si="128"/>
        <v>45203</v>
      </c>
      <c r="AK99" s="24">
        <f t="shared" si="129"/>
        <v>0</v>
      </c>
      <c r="AL99" s="25">
        <f t="shared" si="130"/>
        <v>0</v>
      </c>
      <c r="AM99" s="29">
        <f t="shared" si="131"/>
        <v>0</v>
      </c>
      <c r="AN99" s="28">
        <f t="shared" si="132"/>
        <v>45203</v>
      </c>
      <c r="AO99" s="373">
        <f t="shared" si="101"/>
        <v>0</v>
      </c>
      <c r="AP99" s="374">
        <f t="shared" si="102"/>
        <v>0</v>
      </c>
      <c r="AQ99" s="27">
        <f t="shared" si="103"/>
        <v>0</v>
      </c>
      <c r="AR99" s="25">
        <f t="shared" si="104"/>
        <v>0</v>
      </c>
      <c r="AS99" s="25">
        <f t="shared" si="105"/>
        <v>0</v>
      </c>
      <c r="AT99" s="25">
        <f t="shared" si="106"/>
        <v>0</v>
      </c>
      <c r="AU99" s="29">
        <f t="shared" si="163"/>
        <v>0</v>
      </c>
      <c r="AV99" s="27">
        <f t="shared" si="133"/>
        <v>0</v>
      </c>
      <c r="AW99" s="27">
        <f t="shared" si="134"/>
        <v>0</v>
      </c>
      <c r="AX99" s="27">
        <f t="shared" si="135"/>
        <v>0</v>
      </c>
      <c r="AY99" s="27">
        <f t="shared" si="136"/>
        <v>0</v>
      </c>
      <c r="BH99" s="2">
        <f t="shared" si="137"/>
        <v>0</v>
      </c>
      <c r="BI99" s="298" t="str">
        <f t="shared" si="138"/>
        <v/>
      </c>
      <c r="BJ99" s="298" t="str">
        <f t="shared" si="107"/>
        <v/>
      </c>
      <c r="BQ99" s="4">
        <f t="shared" si="139"/>
        <v>45203</v>
      </c>
      <c r="BR99" s="112">
        <f t="shared" si="140"/>
        <v>0</v>
      </c>
      <c r="BS99" s="112">
        <f t="shared" si="141"/>
        <v>0</v>
      </c>
      <c r="BT99" s="112">
        <f t="shared" si="142"/>
        <v>0</v>
      </c>
      <c r="BU99" s="112">
        <f t="shared" si="143"/>
        <v>0</v>
      </c>
      <c r="BV99" s="112">
        <f t="shared" si="144"/>
        <v>0</v>
      </c>
      <c r="CI99" s="4">
        <f t="shared" si="145"/>
        <v>45203</v>
      </c>
      <c r="CJ99" s="50">
        <f ca="1">IF($BH99=0,IF($CO99="",CJ98+R99,IF('283'!$K$251=1,VLOOKUP($CO99,PerStBal,2)+R99,IF('283'!$K$253=1,(VLOOKUP($CO99,PerPortion,2)*VLOOKUP($CO99,PerStBal,6))+R99,GL!BS99))),0)</f>
        <v>0</v>
      </c>
      <c r="CK99" s="425">
        <f ca="1">IF($BH99=0,IF($CO99="",CK98+T99,IF('283'!$K$251=1,IF(mname2&lt;&gt;"",VLOOKUP($CO99,PerStBal,3)+T99,0),IF('283'!$K$253=1,(VLOOKUP($CO99,PerPortion,3)*VLOOKUP($CO99,PerStBal,6))+T99,GL!BT99))),0)</f>
        <v>0</v>
      </c>
      <c r="CL99" s="425">
        <f ca="1">IF($BH99=0,IF($CO99="",CL98+V99,IF('283'!$K$251=1,IF(mname3&lt;&gt;"",VLOOKUP($CO99,PerStBal,4)+V99,0),IF('283'!$K$253=1,(VLOOKUP($CO99,PerPortion,4)*VLOOKUP($CO99,PerStBal,6))+V99,GL!BU99))),0)</f>
        <v>0</v>
      </c>
      <c r="CM99" s="425">
        <f ca="1">IF($BH99=0,IF($CO99="",CM98+X99,IF('283'!$K$251=1,IF(mname4&lt;&gt;"",VLOOKUP($CO99,PerStBal,5)+X99,0),IF('283'!$K$253=1,(VLOOKUP($CO99,PerPortion,5)*VLOOKUP($CO99,PerStBal,6))+X99,GL!BV99))),0)</f>
        <v>0</v>
      </c>
      <c r="CN99" s="50">
        <f t="shared" ca="1" si="146"/>
        <v>0</v>
      </c>
      <c r="CO99" s="4" t="str">
        <f t="shared" ca="1" si="147"/>
        <v/>
      </c>
      <c r="CP99" s="377">
        <f t="shared" si="108"/>
        <v>0</v>
      </c>
      <c r="DI99" s="4">
        <f t="shared" si="148"/>
        <v>45203</v>
      </c>
      <c r="DJ99" s="112">
        <f t="shared" ca="1" si="149"/>
        <v>0</v>
      </c>
      <c r="DK99" s="112">
        <f t="shared" si="150"/>
        <v>0</v>
      </c>
      <c r="DL99" s="4">
        <f t="shared" si="151"/>
        <v>45203</v>
      </c>
      <c r="DM99" s="112">
        <f t="shared" ca="1" si="152"/>
        <v>0</v>
      </c>
      <c r="DN99" s="112">
        <f t="shared" si="153"/>
        <v>0</v>
      </c>
      <c r="DO99" s="4">
        <f t="shared" si="154"/>
        <v>45203</v>
      </c>
      <c r="DP99" s="112">
        <f t="shared" ca="1" si="155"/>
        <v>0</v>
      </c>
      <c r="DQ99" s="112">
        <f t="shared" si="156"/>
        <v>0</v>
      </c>
      <c r="DR99" s="4">
        <f t="shared" si="157"/>
        <v>45203</v>
      </c>
      <c r="DS99" s="112">
        <f t="shared" ca="1" si="158"/>
        <v>0</v>
      </c>
      <c r="DT99" s="112">
        <f t="shared" si="159"/>
        <v>0</v>
      </c>
      <c r="DU99" s="4">
        <f t="shared" si="160"/>
        <v>45203</v>
      </c>
      <c r="DV99" s="112">
        <f t="shared" si="161"/>
        <v>0</v>
      </c>
      <c r="DW99" s="112">
        <f t="shared" si="162"/>
        <v>0</v>
      </c>
    </row>
    <row r="100" spans="1:127" ht="15.75" thickTop="1" x14ac:dyDescent="0.25">
      <c r="B100" s="2" t="s">
        <v>114</v>
      </c>
      <c r="C100" s="3">
        <f>middate</f>
        <v>45291</v>
      </c>
      <c r="D100" s="50">
        <f>SUM(AZ5:AZ54)</f>
        <v>0</v>
      </c>
      <c r="E100" s="50">
        <f>SUM(BA5:BA54)</f>
        <v>0</v>
      </c>
      <c r="F100" s="50">
        <f>SUM(BB5:BB54)</f>
        <v>0</v>
      </c>
      <c r="G100" s="50">
        <f>SUM(BC5:BC54)</f>
        <v>0</v>
      </c>
      <c r="H100" s="23"/>
      <c r="I100" s="2" t="s">
        <v>114</v>
      </c>
      <c r="J100" s="3">
        <f>middate</f>
        <v>45291</v>
      </c>
      <c r="K100" s="50">
        <f>SUM(BD5:BD54)</f>
        <v>0</v>
      </c>
      <c r="L100" s="50">
        <f>SUM(BE5:BE54)</f>
        <v>0</v>
      </c>
      <c r="M100" s="50">
        <f>SUM(BF5:BF54)</f>
        <v>0</v>
      </c>
      <c r="N100" s="50">
        <f>SUM(BG5:BG54)</f>
        <v>0</v>
      </c>
      <c r="O100" s="50"/>
      <c r="P100" s="54"/>
      <c r="Q100" s="4">
        <f t="shared" si="109"/>
        <v>45204</v>
      </c>
      <c r="R100" s="24">
        <f t="shared" si="110"/>
        <v>0</v>
      </c>
      <c r="S100" s="25">
        <f t="shared" si="111"/>
        <v>0</v>
      </c>
      <c r="T100" s="24">
        <f t="shared" si="112"/>
        <v>0</v>
      </c>
      <c r="U100" s="25">
        <f t="shared" si="113"/>
        <v>0</v>
      </c>
      <c r="V100" s="24">
        <f t="shared" si="114"/>
        <v>0</v>
      </c>
      <c r="W100" s="25">
        <f t="shared" si="115"/>
        <v>0</v>
      </c>
      <c r="X100" s="24">
        <f t="shared" si="116"/>
        <v>0</v>
      </c>
      <c r="Y100" s="26">
        <f t="shared" si="117"/>
        <v>0</v>
      </c>
      <c r="Z100" s="27">
        <f t="shared" si="118"/>
        <v>0</v>
      </c>
      <c r="AA100" s="28">
        <f t="shared" si="119"/>
        <v>45204</v>
      </c>
      <c r="AB100" s="24">
        <f t="shared" si="120"/>
        <v>0</v>
      </c>
      <c r="AC100" s="25">
        <f t="shared" si="121"/>
        <v>0</v>
      </c>
      <c r="AD100" s="28">
        <f t="shared" si="122"/>
        <v>45204</v>
      </c>
      <c r="AE100" s="24">
        <f t="shared" si="123"/>
        <v>0</v>
      </c>
      <c r="AF100" s="25">
        <f t="shared" si="124"/>
        <v>0</v>
      </c>
      <c r="AG100" s="28">
        <f t="shared" si="125"/>
        <v>45204</v>
      </c>
      <c r="AH100" s="24">
        <f t="shared" si="126"/>
        <v>0</v>
      </c>
      <c r="AI100" s="25">
        <f t="shared" si="127"/>
        <v>0</v>
      </c>
      <c r="AJ100" s="28">
        <f t="shared" si="128"/>
        <v>45204</v>
      </c>
      <c r="AK100" s="24">
        <f t="shared" si="129"/>
        <v>0</v>
      </c>
      <c r="AL100" s="25">
        <f t="shared" si="130"/>
        <v>0</v>
      </c>
      <c r="AM100" s="29">
        <f t="shared" si="131"/>
        <v>0</v>
      </c>
      <c r="AN100" s="28">
        <f t="shared" si="132"/>
        <v>45204</v>
      </c>
      <c r="AO100" s="373">
        <f t="shared" si="101"/>
        <v>0</v>
      </c>
      <c r="AP100" s="374">
        <f t="shared" si="102"/>
        <v>0</v>
      </c>
      <c r="AQ100" s="27">
        <f t="shared" si="103"/>
        <v>0</v>
      </c>
      <c r="AR100" s="25">
        <f t="shared" si="104"/>
        <v>0</v>
      </c>
      <c r="AS100" s="25">
        <f t="shared" si="105"/>
        <v>0</v>
      </c>
      <c r="AT100" s="25">
        <f t="shared" si="106"/>
        <v>0</v>
      </c>
      <c r="AU100" s="29">
        <f t="shared" si="163"/>
        <v>0</v>
      </c>
      <c r="AV100" s="27">
        <f t="shared" si="133"/>
        <v>0</v>
      </c>
      <c r="AW100" s="27">
        <f t="shared" si="134"/>
        <v>0</v>
      </c>
      <c r="AX100" s="27">
        <f t="shared" si="135"/>
        <v>0</v>
      </c>
      <c r="AY100" s="27">
        <f t="shared" si="136"/>
        <v>0</v>
      </c>
      <c r="BH100" s="2">
        <f t="shared" si="137"/>
        <v>0</v>
      </c>
      <c r="BI100" s="298" t="str">
        <f t="shared" si="138"/>
        <v/>
      </c>
      <c r="BJ100" s="298" t="str">
        <f t="shared" si="107"/>
        <v/>
      </c>
      <c r="BQ100" s="4">
        <f t="shared" si="139"/>
        <v>45204</v>
      </c>
      <c r="BR100" s="112">
        <f t="shared" si="140"/>
        <v>0</v>
      </c>
      <c r="BS100" s="112">
        <f t="shared" si="141"/>
        <v>0</v>
      </c>
      <c r="BT100" s="112">
        <f t="shared" si="142"/>
        <v>0</v>
      </c>
      <c r="BU100" s="112">
        <f t="shared" si="143"/>
        <v>0</v>
      </c>
      <c r="BV100" s="112">
        <f t="shared" si="144"/>
        <v>0</v>
      </c>
      <c r="CI100" s="4">
        <f t="shared" si="145"/>
        <v>45204</v>
      </c>
      <c r="CJ100" s="50">
        <f ca="1">IF($BH100=0,IF($CO100="",CJ99+R100,IF('283'!$K$251=1,VLOOKUP($CO100,PerStBal,2)+R100,IF('283'!$K$253=1,(VLOOKUP($CO100,PerPortion,2)*VLOOKUP($CO100,PerStBal,6))+R100,GL!BS100))),0)</f>
        <v>0</v>
      </c>
      <c r="CK100" s="425">
        <f ca="1">IF($BH100=0,IF($CO100="",CK99+T100,IF('283'!$K$251=1,IF(mname2&lt;&gt;"",VLOOKUP($CO100,PerStBal,3)+T100,0),IF('283'!$K$253=1,(VLOOKUP($CO100,PerPortion,3)*VLOOKUP($CO100,PerStBal,6))+T100,GL!BT100))),0)</f>
        <v>0</v>
      </c>
      <c r="CL100" s="425">
        <f ca="1">IF($BH100=0,IF($CO100="",CL99+V100,IF('283'!$K$251=1,IF(mname3&lt;&gt;"",VLOOKUP($CO100,PerStBal,4)+V100,0),IF('283'!$K$253=1,(VLOOKUP($CO100,PerPortion,4)*VLOOKUP($CO100,PerStBal,6))+V100,GL!BU100))),0)</f>
        <v>0</v>
      </c>
      <c r="CM100" s="425">
        <f ca="1">IF($BH100=0,IF($CO100="",CM99+X100,IF('283'!$K$251=1,IF(mname4&lt;&gt;"",VLOOKUP($CO100,PerStBal,5)+X100,0),IF('283'!$K$253=1,(VLOOKUP($CO100,PerPortion,5)*VLOOKUP($CO100,PerStBal,6))+X100,GL!BV100))),0)</f>
        <v>0</v>
      </c>
      <c r="CN100" s="50">
        <f t="shared" ca="1" si="146"/>
        <v>0</v>
      </c>
      <c r="CO100" s="4" t="str">
        <f t="shared" ca="1" si="147"/>
        <v/>
      </c>
      <c r="CP100" s="377">
        <f t="shared" si="108"/>
        <v>0</v>
      </c>
      <c r="DI100" s="4">
        <f t="shared" si="148"/>
        <v>45204</v>
      </c>
      <c r="DJ100" s="112">
        <f t="shared" ca="1" si="149"/>
        <v>0</v>
      </c>
      <c r="DK100" s="112">
        <f t="shared" si="150"/>
        <v>0</v>
      </c>
      <c r="DL100" s="4">
        <f t="shared" si="151"/>
        <v>45204</v>
      </c>
      <c r="DM100" s="112">
        <f t="shared" ca="1" si="152"/>
        <v>0</v>
      </c>
      <c r="DN100" s="112">
        <f t="shared" si="153"/>
        <v>0</v>
      </c>
      <c r="DO100" s="4">
        <f t="shared" si="154"/>
        <v>45204</v>
      </c>
      <c r="DP100" s="112">
        <f t="shared" ca="1" si="155"/>
        <v>0</v>
      </c>
      <c r="DQ100" s="112">
        <f t="shared" si="156"/>
        <v>0</v>
      </c>
      <c r="DR100" s="4">
        <f t="shared" si="157"/>
        <v>45204</v>
      </c>
      <c r="DS100" s="112">
        <f t="shared" ca="1" si="158"/>
        <v>0</v>
      </c>
      <c r="DT100" s="112">
        <f t="shared" si="159"/>
        <v>0</v>
      </c>
      <c r="DU100" s="4">
        <f t="shared" si="160"/>
        <v>45204</v>
      </c>
      <c r="DV100" s="112">
        <f t="shared" si="161"/>
        <v>0</v>
      </c>
      <c r="DW100" s="112">
        <f t="shared" si="162"/>
        <v>0</v>
      </c>
    </row>
    <row r="101" spans="1:127" x14ac:dyDescent="0.25">
      <c r="B101" s="64" t="s">
        <v>115</v>
      </c>
      <c r="C101" s="65"/>
      <c r="D101" s="66">
        <f>IF(D95&gt;0,$C95,D99)</f>
        <v>45108</v>
      </c>
      <c r="E101" s="66">
        <f>IF(E95&gt;0,$C95,E99)</f>
        <v>45108</v>
      </c>
      <c r="F101" s="66">
        <f>IF(F95&gt;0,$C95,F99)</f>
        <v>45108</v>
      </c>
      <c r="G101" s="66">
        <f>IF(G95&gt;0,$C95,G99)</f>
        <v>45108</v>
      </c>
      <c r="I101" s="2" t="str">
        <f>IF(ISERROR(VALUE(LEFT(H85,1))),"R",LEFT(H85,1))</f>
        <v>R</v>
      </c>
      <c r="K101" s="2">
        <f>SUMIF($J$5:$J$84,"&lt;&gt;""",K5:K84)</f>
        <v>0</v>
      </c>
      <c r="L101" s="2">
        <f>SUMIF($J$5:$J$84,"&lt;&gt;""",L5:L84)</f>
        <v>0</v>
      </c>
      <c r="M101" s="2">
        <f>SUMIF($J$5:$J$84,"&lt;&gt;""",M5:M84)</f>
        <v>0</v>
      </c>
      <c r="N101" s="2">
        <f>SUMIF($J$5:$J$84,"&lt;&gt;""",N5:N84)</f>
        <v>0</v>
      </c>
      <c r="P101" s="54"/>
      <c r="Q101" s="4">
        <f t="shared" si="109"/>
        <v>45205</v>
      </c>
      <c r="R101" s="24">
        <f t="shared" si="110"/>
        <v>0</v>
      </c>
      <c r="S101" s="25">
        <f t="shared" si="111"/>
        <v>0</v>
      </c>
      <c r="T101" s="24">
        <f t="shared" si="112"/>
        <v>0</v>
      </c>
      <c r="U101" s="25">
        <f t="shared" si="113"/>
        <v>0</v>
      </c>
      <c r="V101" s="24">
        <f t="shared" si="114"/>
        <v>0</v>
      </c>
      <c r="W101" s="25">
        <f t="shared" si="115"/>
        <v>0</v>
      </c>
      <c r="X101" s="24">
        <f t="shared" si="116"/>
        <v>0</v>
      </c>
      <c r="Y101" s="26">
        <f t="shared" si="117"/>
        <v>0</v>
      </c>
      <c r="Z101" s="27">
        <f t="shared" si="118"/>
        <v>0</v>
      </c>
      <c r="AA101" s="28">
        <f t="shared" si="119"/>
        <v>45205</v>
      </c>
      <c r="AB101" s="24">
        <f t="shared" si="120"/>
        <v>0</v>
      </c>
      <c r="AC101" s="25">
        <f t="shared" si="121"/>
        <v>0</v>
      </c>
      <c r="AD101" s="28">
        <f t="shared" si="122"/>
        <v>45205</v>
      </c>
      <c r="AE101" s="24">
        <f t="shared" si="123"/>
        <v>0</v>
      </c>
      <c r="AF101" s="25">
        <f t="shared" si="124"/>
        <v>0</v>
      </c>
      <c r="AG101" s="28">
        <f t="shared" si="125"/>
        <v>45205</v>
      </c>
      <c r="AH101" s="24">
        <f t="shared" si="126"/>
        <v>0</v>
      </c>
      <c r="AI101" s="25">
        <f t="shared" si="127"/>
        <v>0</v>
      </c>
      <c r="AJ101" s="28">
        <f t="shared" si="128"/>
        <v>45205</v>
      </c>
      <c r="AK101" s="24">
        <f t="shared" si="129"/>
        <v>0</v>
      </c>
      <c r="AL101" s="25">
        <f t="shared" si="130"/>
        <v>0</v>
      </c>
      <c r="AM101" s="29">
        <f t="shared" si="131"/>
        <v>0</v>
      </c>
      <c r="AN101" s="28">
        <f t="shared" si="132"/>
        <v>45205</v>
      </c>
      <c r="AO101" s="373">
        <f t="shared" si="101"/>
        <v>0</v>
      </c>
      <c r="AP101" s="374">
        <f t="shared" si="102"/>
        <v>0</v>
      </c>
      <c r="AQ101" s="27">
        <f t="shared" si="103"/>
        <v>0</v>
      </c>
      <c r="AR101" s="25">
        <f t="shared" si="104"/>
        <v>0</v>
      </c>
      <c r="AS101" s="25">
        <f t="shared" si="105"/>
        <v>0</v>
      </c>
      <c r="AT101" s="25">
        <f t="shared" si="106"/>
        <v>0</v>
      </c>
      <c r="AU101" s="29">
        <f t="shared" si="163"/>
        <v>0</v>
      </c>
      <c r="AV101" s="27">
        <f t="shared" si="133"/>
        <v>0</v>
      </c>
      <c r="AW101" s="27">
        <f t="shared" si="134"/>
        <v>0</v>
      </c>
      <c r="AX101" s="27">
        <f t="shared" si="135"/>
        <v>0</v>
      </c>
      <c r="AY101" s="27">
        <f t="shared" si="136"/>
        <v>0</v>
      </c>
      <c r="BH101" s="2">
        <f t="shared" si="137"/>
        <v>0</v>
      </c>
      <c r="BI101" s="298" t="str">
        <f t="shared" si="138"/>
        <v/>
      </c>
      <c r="BJ101" s="298" t="str">
        <f t="shared" si="107"/>
        <v/>
      </c>
      <c r="BQ101" s="4">
        <f t="shared" si="139"/>
        <v>45205</v>
      </c>
      <c r="BR101" s="112">
        <f t="shared" si="140"/>
        <v>0</v>
      </c>
      <c r="BS101" s="112">
        <f t="shared" si="141"/>
        <v>0</v>
      </c>
      <c r="BT101" s="112">
        <f t="shared" si="142"/>
        <v>0</v>
      </c>
      <c r="BU101" s="112">
        <f t="shared" si="143"/>
        <v>0</v>
      </c>
      <c r="BV101" s="112">
        <f t="shared" si="144"/>
        <v>0</v>
      </c>
      <c r="CI101" s="4">
        <f t="shared" si="145"/>
        <v>45205</v>
      </c>
      <c r="CJ101" s="50">
        <f ca="1">IF($BH101=0,IF($CO101="",CJ100+R101,IF('283'!$K$251=1,VLOOKUP($CO101,PerStBal,2)+R101,IF('283'!$K$253=1,(VLOOKUP($CO101,PerPortion,2)*VLOOKUP($CO101,PerStBal,6))+R101,GL!BS101))),0)</f>
        <v>0</v>
      </c>
      <c r="CK101" s="425">
        <f ca="1">IF($BH101=0,IF($CO101="",CK100+T101,IF('283'!$K$251=1,IF(mname2&lt;&gt;"",VLOOKUP($CO101,PerStBal,3)+T101,0),IF('283'!$K$253=1,(VLOOKUP($CO101,PerPortion,3)*VLOOKUP($CO101,PerStBal,6))+T101,GL!BT101))),0)</f>
        <v>0</v>
      </c>
      <c r="CL101" s="425">
        <f ca="1">IF($BH101=0,IF($CO101="",CL100+V101,IF('283'!$K$251=1,IF(mname3&lt;&gt;"",VLOOKUP($CO101,PerStBal,4)+V101,0),IF('283'!$K$253=1,(VLOOKUP($CO101,PerPortion,4)*VLOOKUP($CO101,PerStBal,6))+V101,GL!BU101))),0)</f>
        <v>0</v>
      </c>
      <c r="CM101" s="425">
        <f ca="1">IF($BH101=0,IF($CO101="",CM100+X101,IF('283'!$K$251=1,IF(mname4&lt;&gt;"",VLOOKUP($CO101,PerStBal,5)+X101,0),IF('283'!$K$253=1,(VLOOKUP($CO101,PerPortion,5)*VLOOKUP($CO101,PerStBal,6))+X101,GL!BV101))),0)</f>
        <v>0</v>
      </c>
      <c r="CN101" s="50">
        <f t="shared" ca="1" si="146"/>
        <v>0</v>
      </c>
      <c r="CO101" s="4" t="str">
        <f t="shared" ca="1" si="147"/>
        <v/>
      </c>
      <c r="CP101" s="377">
        <f t="shared" si="108"/>
        <v>0</v>
      </c>
      <c r="DI101" s="4">
        <f t="shared" si="148"/>
        <v>45205</v>
      </c>
      <c r="DJ101" s="112">
        <f t="shared" ca="1" si="149"/>
        <v>0</v>
      </c>
      <c r="DK101" s="112">
        <f t="shared" si="150"/>
        <v>0</v>
      </c>
      <c r="DL101" s="4">
        <f t="shared" si="151"/>
        <v>45205</v>
      </c>
      <c r="DM101" s="112">
        <f t="shared" ca="1" si="152"/>
        <v>0</v>
      </c>
      <c r="DN101" s="112">
        <f t="shared" si="153"/>
        <v>0</v>
      </c>
      <c r="DO101" s="4">
        <f t="shared" si="154"/>
        <v>45205</v>
      </c>
      <c r="DP101" s="112">
        <f t="shared" ca="1" si="155"/>
        <v>0</v>
      </c>
      <c r="DQ101" s="112">
        <f t="shared" si="156"/>
        <v>0</v>
      </c>
      <c r="DR101" s="4">
        <f t="shared" si="157"/>
        <v>45205</v>
      </c>
      <c r="DS101" s="112">
        <f t="shared" ca="1" si="158"/>
        <v>0</v>
      </c>
      <c r="DT101" s="112">
        <f t="shared" si="159"/>
        <v>0</v>
      </c>
      <c r="DU101" s="4">
        <f t="shared" si="160"/>
        <v>45205</v>
      </c>
      <c r="DV101" s="112">
        <f t="shared" si="161"/>
        <v>0</v>
      </c>
      <c r="DW101" s="112">
        <f t="shared" si="162"/>
        <v>0</v>
      </c>
    </row>
    <row r="102" spans="1:127" x14ac:dyDescent="0.25">
      <c r="C102" s="5" t="s">
        <v>116</v>
      </c>
      <c r="D102" s="4">
        <f>IF(COUNTBLANK(C231:C241)&lt;11,LARGE(C231:C241,1),$H$107)</f>
        <v>45474</v>
      </c>
      <c r="E102" s="4">
        <f>IF(COUNTBLANK(D231:D241)&lt;11,LARGE(D231:D241,1),$H$107)</f>
        <v>45474</v>
      </c>
      <c r="F102" s="4">
        <f>IF(COUNTBLANK(E231:E241)&lt;11,LARGE(E231:E241,1),$H$107)</f>
        <v>45474</v>
      </c>
      <c r="G102" s="4">
        <f>IF(COUNTBLANK(F231:F241)&lt;11,LARGE(F231:F241,1),$H$107)</f>
        <v>45474</v>
      </c>
      <c r="I102" s="2" t="str">
        <f>IF(ISERROR(VALUE(LEFT(H86,1))),"R",LEFT(H86,1))</f>
        <v>R</v>
      </c>
      <c r="J102" s="5" t="s">
        <v>116</v>
      </c>
      <c r="K102" s="4">
        <f>YearEnd</f>
        <v>45474</v>
      </c>
      <c r="L102" s="4">
        <f>YearEnd</f>
        <v>45474</v>
      </c>
      <c r="M102" s="4">
        <f>YearEnd</f>
        <v>45474</v>
      </c>
      <c r="N102" s="4">
        <f>YearEnd</f>
        <v>45474</v>
      </c>
      <c r="Q102" s="4">
        <f t="shared" si="109"/>
        <v>45206</v>
      </c>
      <c r="R102" s="24">
        <f t="shared" si="110"/>
        <v>0</v>
      </c>
      <c r="S102" s="25">
        <f t="shared" si="111"/>
        <v>0</v>
      </c>
      <c r="T102" s="24">
        <f t="shared" si="112"/>
        <v>0</v>
      </c>
      <c r="U102" s="25">
        <f t="shared" si="113"/>
        <v>0</v>
      </c>
      <c r="V102" s="24">
        <f t="shared" si="114"/>
        <v>0</v>
      </c>
      <c r="W102" s="25">
        <f t="shared" si="115"/>
        <v>0</v>
      </c>
      <c r="X102" s="24">
        <f t="shared" si="116"/>
        <v>0</v>
      </c>
      <c r="Y102" s="26">
        <f t="shared" si="117"/>
        <v>0</v>
      </c>
      <c r="Z102" s="27">
        <f t="shared" si="118"/>
        <v>0</v>
      </c>
      <c r="AA102" s="28">
        <f t="shared" si="119"/>
        <v>45206</v>
      </c>
      <c r="AB102" s="24">
        <f t="shared" si="120"/>
        <v>0</v>
      </c>
      <c r="AC102" s="25">
        <f t="shared" si="121"/>
        <v>0</v>
      </c>
      <c r="AD102" s="28">
        <f t="shared" si="122"/>
        <v>45206</v>
      </c>
      <c r="AE102" s="24">
        <f t="shared" si="123"/>
        <v>0</v>
      </c>
      <c r="AF102" s="25">
        <f t="shared" si="124"/>
        <v>0</v>
      </c>
      <c r="AG102" s="28">
        <f t="shared" si="125"/>
        <v>45206</v>
      </c>
      <c r="AH102" s="24">
        <f t="shared" si="126"/>
        <v>0</v>
      </c>
      <c r="AI102" s="25">
        <f t="shared" si="127"/>
        <v>0</v>
      </c>
      <c r="AJ102" s="28">
        <f t="shared" si="128"/>
        <v>45206</v>
      </c>
      <c r="AK102" s="24">
        <f t="shared" si="129"/>
        <v>0</v>
      </c>
      <c r="AL102" s="25">
        <f t="shared" si="130"/>
        <v>0</v>
      </c>
      <c r="AM102" s="29">
        <f t="shared" si="131"/>
        <v>0</v>
      </c>
      <c r="AN102" s="28">
        <f t="shared" si="132"/>
        <v>45206</v>
      </c>
      <c r="AO102" s="373">
        <f t="shared" si="101"/>
        <v>0</v>
      </c>
      <c r="AP102" s="374">
        <f t="shared" si="102"/>
        <v>0</v>
      </c>
      <c r="AQ102" s="27">
        <f t="shared" si="103"/>
        <v>0</v>
      </c>
      <c r="AR102" s="25">
        <f t="shared" si="104"/>
        <v>0</v>
      </c>
      <c r="AS102" s="25">
        <f t="shared" si="105"/>
        <v>0</v>
      </c>
      <c r="AT102" s="25">
        <f t="shared" si="106"/>
        <v>0</v>
      </c>
      <c r="AU102" s="29">
        <f t="shared" si="163"/>
        <v>0</v>
      </c>
      <c r="AV102" s="27">
        <f t="shared" si="133"/>
        <v>0</v>
      </c>
      <c r="AW102" s="27">
        <f t="shared" si="134"/>
        <v>0</v>
      </c>
      <c r="AX102" s="27">
        <f t="shared" si="135"/>
        <v>0</v>
      </c>
      <c r="AY102" s="27">
        <f t="shared" si="136"/>
        <v>0</v>
      </c>
      <c r="BH102" s="2">
        <f t="shared" si="137"/>
        <v>0</v>
      </c>
      <c r="BI102" s="298" t="str">
        <f t="shared" si="138"/>
        <v/>
      </c>
      <c r="BJ102" s="298" t="str">
        <f t="shared" si="107"/>
        <v/>
      </c>
      <c r="BQ102" s="4">
        <f t="shared" si="139"/>
        <v>45206</v>
      </c>
      <c r="BR102" s="112">
        <f t="shared" si="140"/>
        <v>0</v>
      </c>
      <c r="BS102" s="112">
        <f t="shared" si="141"/>
        <v>0</v>
      </c>
      <c r="BT102" s="112">
        <f t="shared" si="142"/>
        <v>0</v>
      </c>
      <c r="BU102" s="112">
        <f t="shared" si="143"/>
        <v>0</v>
      </c>
      <c r="BV102" s="112">
        <f t="shared" si="144"/>
        <v>0</v>
      </c>
      <c r="CI102" s="4">
        <f t="shared" si="145"/>
        <v>45206</v>
      </c>
      <c r="CJ102" s="50">
        <f ca="1">IF($BH102=0,IF($CO102="",CJ101+R102,IF('283'!$K$251=1,VLOOKUP($CO102,PerStBal,2)+R102,IF('283'!$K$253=1,(VLOOKUP($CO102,PerPortion,2)*VLOOKUP($CO102,PerStBal,6))+R102,GL!BS102))),0)</f>
        <v>0</v>
      </c>
      <c r="CK102" s="425">
        <f ca="1">IF($BH102=0,IF($CO102="",CK101+T102,IF('283'!$K$251=1,IF(mname2&lt;&gt;"",VLOOKUP($CO102,PerStBal,3)+T102,0),IF('283'!$K$253=1,(VLOOKUP($CO102,PerPortion,3)*VLOOKUP($CO102,PerStBal,6))+T102,GL!BT102))),0)</f>
        <v>0</v>
      </c>
      <c r="CL102" s="425">
        <f ca="1">IF($BH102=0,IF($CO102="",CL101+V102,IF('283'!$K$251=1,IF(mname3&lt;&gt;"",VLOOKUP($CO102,PerStBal,4)+V102,0),IF('283'!$K$253=1,(VLOOKUP($CO102,PerPortion,4)*VLOOKUP($CO102,PerStBal,6))+V102,GL!BU102))),0)</f>
        <v>0</v>
      </c>
      <c r="CM102" s="425">
        <f ca="1">IF($BH102=0,IF($CO102="",CM101+X102,IF('283'!$K$251=1,IF(mname4&lt;&gt;"",VLOOKUP($CO102,PerStBal,5)+X102,0),IF('283'!$K$253=1,(VLOOKUP($CO102,PerPortion,5)*VLOOKUP($CO102,PerStBal,6))+X102,GL!BV102))),0)</f>
        <v>0</v>
      </c>
      <c r="CN102" s="50">
        <f t="shared" ca="1" si="146"/>
        <v>0</v>
      </c>
      <c r="CO102" s="4" t="str">
        <f t="shared" ca="1" si="147"/>
        <v/>
      </c>
      <c r="CP102" s="377">
        <f t="shared" si="108"/>
        <v>0</v>
      </c>
      <c r="DI102" s="4">
        <f t="shared" si="148"/>
        <v>45206</v>
      </c>
      <c r="DJ102" s="112">
        <f t="shared" ca="1" si="149"/>
        <v>0</v>
      </c>
      <c r="DK102" s="112">
        <f t="shared" si="150"/>
        <v>0</v>
      </c>
      <c r="DL102" s="4">
        <f t="shared" si="151"/>
        <v>45206</v>
      </c>
      <c r="DM102" s="112">
        <f t="shared" ca="1" si="152"/>
        <v>0</v>
      </c>
      <c r="DN102" s="112">
        <f t="shared" si="153"/>
        <v>0</v>
      </c>
      <c r="DO102" s="4">
        <f t="shared" si="154"/>
        <v>45206</v>
      </c>
      <c r="DP102" s="112">
        <f t="shared" ca="1" si="155"/>
        <v>0</v>
      </c>
      <c r="DQ102" s="112">
        <f t="shared" si="156"/>
        <v>0</v>
      </c>
      <c r="DR102" s="4">
        <f t="shared" si="157"/>
        <v>45206</v>
      </c>
      <c r="DS102" s="112">
        <f t="shared" ca="1" si="158"/>
        <v>0</v>
      </c>
      <c r="DT102" s="112">
        <f t="shared" si="159"/>
        <v>0</v>
      </c>
      <c r="DU102" s="4">
        <f t="shared" si="160"/>
        <v>45206</v>
      </c>
      <c r="DV102" s="112">
        <f t="shared" si="161"/>
        <v>0</v>
      </c>
      <c r="DW102" s="112">
        <f t="shared" si="162"/>
        <v>0</v>
      </c>
    </row>
    <row r="103" spans="1:127" x14ac:dyDescent="0.25">
      <c r="B103" s="2" t="s">
        <v>117</v>
      </c>
      <c r="D103" s="4">
        <f>AVERAGE(D101,D104)</f>
        <v>45291</v>
      </c>
      <c r="E103" s="4">
        <f>AVERAGE(E101,E104)</f>
        <v>45291</v>
      </c>
      <c r="F103" s="4">
        <f>AVERAGE(F101,F104)</f>
        <v>45291</v>
      </c>
      <c r="G103" s="4">
        <f>AVERAGE(G101,G104)</f>
        <v>45291</v>
      </c>
      <c r="H103" s="67">
        <f>E100/(YearEnd-E101)</f>
        <v>0</v>
      </c>
      <c r="I103" s="2" t="str">
        <f>IF(ISERROR(VALUE(LEFT(H87,1))),"R",LEFT(H87,1))</f>
        <v>R</v>
      </c>
      <c r="K103" s="4">
        <f>AVERAGE(K102,K104)</f>
        <v>45291</v>
      </c>
      <c r="L103" s="4">
        <f>AVERAGE(L102,L104)</f>
        <v>45291</v>
      </c>
      <c r="M103" s="4">
        <f>AVERAGE(M102,M104)</f>
        <v>45291</v>
      </c>
      <c r="N103" s="4">
        <f>AVERAGE(N102,N104)</f>
        <v>45291</v>
      </c>
      <c r="Q103" s="4">
        <f t="shared" si="109"/>
        <v>45207</v>
      </c>
      <c r="R103" s="24">
        <f t="shared" si="110"/>
        <v>0</v>
      </c>
      <c r="S103" s="25">
        <f t="shared" si="111"/>
        <v>0</v>
      </c>
      <c r="T103" s="24">
        <f t="shared" si="112"/>
        <v>0</v>
      </c>
      <c r="U103" s="25">
        <f t="shared" si="113"/>
        <v>0</v>
      </c>
      <c r="V103" s="24">
        <f t="shared" si="114"/>
        <v>0</v>
      </c>
      <c r="W103" s="25">
        <f t="shared" si="115"/>
        <v>0</v>
      </c>
      <c r="X103" s="24">
        <f t="shared" si="116"/>
        <v>0</v>
      </c>
      <c r="Y103" s="26">
        <f t="shared" si="117"/>
        <v>0</v>
      </c>
      <c r="Z103" s="27">
        <f t="shared" si="118"/>
        <v>0</v>
      </c>
      <c r="AA103" s="28">
        <f t="shared" si="119"/>
        <v>45207</v>
      </c>
      <c r="AB103" s="24">
        <f t="shared" si="120"/>
        <v>0</v>
      </c>
      <c r="AC103" s="25">
        <f t="shared" si="121"/>
        <v>0</v>
      </c>
      <c r="AD103" s="28">
        <f t="shared" si="122"/>
        <v>45207</v>
      </c>
      <c r="AE103" s="24">
        <f t="shared" si="123"/>
        <v>0</v>
      </c>
      <c r="AF103" s="25">
        <f t="shared" si="124"/>
        <v>0</v>
      </c>
      <c r="AG103" s="28">
        <f t="shared" si="125"/>
        <v>45207</v>
      </c>
      <c r="AH103" s="24">
        <f t="shared" si="126"/>
        <v>0</v>
      </c>
      <c r="AI103" s="25">
        <f t="shared" si="127"/>
        <v>0</v>
      </c>
      <c r="AJ103" s="28">
        <f t="shared" si="128"/>
        <v>45207</v>
      </c>
      <c r="AK103" s="24">
        <f t="shared" si="129"/>
        <v>0</v>
      </c>
      <c r="AL103" s="25">
        <f t="shared" si="130"/>
        <v>0</v>
      </c>
      <c r="AM103" s="29">
        <f t="shared" si="131"/>
        <v>0</v>
      </c>
      <c r="AN103" s="28">
        <f t="shared" si="132"/>
        <v>45207</v>
      </c>
      <c r="AO103" s="373">
        <f t="shared" si="101"/>
        <v>0</v>
      </c>
      <c r="AP103" s="374">
        <f t="shared" si="102"/>
        <v>0</v>
      </c>
      <c r="AQ103" s="27">
        <f t="shared" si="103"/>
        <v>0</v>
      </c>
      <c r="AR103" s="25">
        <f t="shared" si="104"/>
        <v>0</v>
      </c>
      <c r="AS103" s="25">
        <f t="shared" si="105"/>
        <v>0</v>
      </c>
      <c r="AT103" s="25">
        <f t="shared" si="106"/>
        <v>0</v>
      </c>
      <c r="AU103" s="29">
        <f t="shared" si="163"/>
        <v>0</v>
      </c>
      <c r="AV103" s="27">
        <f t="shared" si="133"/>
        <v>0</v>
      </c>
      <c r="AW103" s="27">
        <f t="shared" si="134"/>
        <v>0</v>
      </c>
      <c r="AX103" s="27">
        <f t="shared" si="135"/>
        <v>0</v>
      </c>
      <c r="AY103" s="27">
        <f t="shared" si="136"/>
        <v>0</v>
      </c>
      <c r="BH103" s="2">
        <f t="shared" si="137"/>
        <v>0</v>
      </c>
      <c r="BI103" s="298" t="str">
        <f t="shared" si="138"/>
        <v/>
      </c>
      <c r="BJ103" s="298" t="str">
        <f t="shared" si="107"/>
        <v/>
      </c>
      <c r="BQ103" s="4">
        <f t="shared" si="139"/>
        <v>45207</v>
      </c>
      <c r="BR103" s="112">
        <f t="shared" si="140"/>
        <v>0</v>
      </c>
      <c r="BS103" s="112">
        <f t="shared" si="141"/>
        <v>0</v>
      </c>
      <c r="BT103" s="112">
        <f t="shared" si="142"/>
        <v>0</v>
      </c>
      <c r="BU103" s="112">
        <f t="shared" si="143"/>
        <v>0</v>
      </c>
      <c r="BV103" s="112">
        <f t="shared" si="144"/>
        <v>0</v>
      </c>
      <c r="CI103" s="4">
        <f t="shared" si="145"/>
        <v>45207</v>
      </c>
      <c r="CJ103" s="50">
        <f ca="1">IF($BH103=0,IF($CO103="",CJ102+R103,IF('283'!$K$251=1,VLOOKUP($CO103,PerStBal,2)+R103,IF('283'!$K$253=1,(VLOOKUP($CO103,PerPortion,2)*VLOOKUP($CO103,PerStBal,6))+R103,GL!BS103))),0)</f>
        <v>0</v>
      </c>
      <c r="CK103" s="425">
        <f ca="1">IF($BH103=0,IF($CO103="",CK102+T103,IF('283'!$K$251=1,IF(mname2&lt;&gt;"",VLOOKUP($CO103,PerStBal,3)+T103,0),IF('283'!$K$253=1,(VLOOKUP($CO103,PerPortion,3)*VLOOKUP($CO103,PerStBal,6))+T103,GL!BT103))),0)</f>
        <v>0</v>
      </c>
      <c r="CL103" s="425">
        <f ca="1">IF($BH103=0,IF($CO103="",CL102+V103,IF('283'!$K$251=1,IF(mname3&lt;&gt;"",VLOOKUP($CO103,PerStBal,4)+V103,0),IF('283'!$K$253=1,(VLOOKUP($CO103,PerPortion,4)*VLOOKUP($CO103,PerStBal,6))+V103,GL!BU103))),0)</f>
        <v>0</v>
      </c>
      <c r="CM103" s="425">
        <f ca="1">IF($BH103=0,IF($CO103="",CM102+X103,IF('283'!$K$251=1,IF(mname4&lt;&gt;"",VLOOKUP($CO103,PerStBal,5)+X103,0),IF('283'!$K$253=1,(VLOOKUP($CO103,PerPortion,5)*VLOOKUP($CO103,PerStBal,6))+X103,GL!BV103))),0)</f>
        <v>0</v>
      </c>
      <c r="CN103" s="50">
        <f t="shared" ca="1" si="146"/>
        <v>0</v>
      </c>
      <c r="CO103" s="4" t="str">
        <f t="shared" ca="1" si="147"/>
        <v/>
      </c>
      <c r="CP103" s="377">
        <f t="shared" si="108"/>
        <v>0</v>
      </c>
      <c r="DI103" s="4">
        <f t="shared" si="148"/>
        <v>45207</v>
      </c>
      <c r="DJ103" s="112">
        <f t="shared" ca="1" si="149"/>
        <v>0</v>
      </c>
      <c r="DK103" s="112">
        <f t="shared" si="150"/>
        <v>0</v>
      </c>
      <c r="DL103" s="4">
        <f t="shared" si="151"/>
        <v>45207</v>
      </c>
      <c r="DM103" s="112">
        <f t="shared" ca="1" si="152"/>
        <v>0</v>
      </c>
      <c r="DN103" s="112">
        <f t="shared" si="153"/>
        <v>0</v>
      </c>
      <c r="DO103" s="4">
        <f t="shared" si="154"/>
        <v>45207</v>
      </c>
      <c r="DP103" s="112">
        <f t="shared" ca="1" si="155"/>
        <v>0</v>
      </c>
      <c r="DQ103" s="112">
        <f t="shared" si="156"/>
        <v>0</v>
      </c>
      <c r="DR103" s="4">
        <f t="shared" si="157"/>
        <v>45207</v>
      </c>
      <c r="DS103" s="112">
        <f t="shared" ca="1" si="158"/>
        <v>0</v>
      </c>
      <c r="DT103" s="112">
        <f t="shared" si="159"/>
        <v>0</v>
      </c>
      <c r="DU103" s="4">
        <f t="shared" si="160"/>
        <v>45207</v>
      </c>
      <c r="DV103" s="112">
        <f t="shared" si="161"/>
        <v>0</v>
      </c>
      <c r="DW103" s="112">
        <f t="shared" si="162"/>
        <v>0</v>
      </c>
    </row>
    <row r="104" spans="1:127" x14ac:dyDescent="0.25">
      <c r="C104" s="5" t="s">
        <v>112</v>
      </c>
      <c r="D104" s="4">
        <f>IF(COUNTBLANK(C242:C251)&lt;10,LARGE(C242:C251,1),YearEnd)</f>
        <v>45474</v>
      </c>
      <c r="E104" s="4">
        <f>IF(COUNTBLANK(D242:D251)&lt;10,LARGE(D242:D251,1),YearEnd)</f>
        <v>45474</v>
      </c>
      <c r="F104" s="4">
        <f>IF(COUNTBLANK(E242:E251)&lt;10,LARGE(E242:E251,1),YearEnd)</f>
        <v>45474</v>
      </c>
      <c r="G104" s="4">
        <f>IF(COUNTBLANK(F242:F251)&lt;10,LARGE(F242:F251,1),YearEnd)</f>
        <v>45474</v>
      </c>
      <c r="I104" s="2" t="str">
        <f>IF(ISERROR(VALUE(LEFT(MID('283'!E62,4,3),1))),"R",LEFT(MID('283'!E62,4,3),1))</f>
        <v>R</v>
      </c>
      <c r="J104" s="5" t="s">
        <v>112</v>
      </c>
      <c r="K104" s="4">
        <f>IF(COUNTBLANK(I231:I241)&lt;10,LARGE(I231:I241,1),YearStart)</f>
        <v>45108</v>
      </c>
      <c r="L104" s="4">
        <f>IF(COUNTBLANK(J231:J241)&lt;10,LARGE(J231:J241,1),YearStart)</f>
        <v>45108</v>
      </c>
      <c r="M104" s="4">
        <f>IF(COUNTBLANK(K231:K241)&lt;10,LARGE(K231:K241,1),YearStart)</f>
        <v>45108</v>
      </c>
      <c r="N104" s="4">
        <f>IF(COUNTBLANK(L231:L241)&lt;10,LARGE(L231:L241,1),YearStart)</f>
        <v>45108</v>
      </c>
      <c r="Q104" s="4">
        <f t="shared" si="109"/>
        <v>45208</v>
      </c>
      <c r="R104" s="24">
        <f t="shared" si="110"/>
        <v>0</v>
      </c>
      <c r="S104" s="25">
        <f t="shared" si="111"/>
        <v>0</v>
      </c>
      <c r="T104" s="24">
        <f t="shared" si="112"/>
        <v>0</v>
      </c>
      <c r="U104" s="25">
        <f t="shared" si="113"/>
        <v>0</v>
      </c>
      <c r="V104" s="24">
        <f t="shared" si="114"/>
        <v>0</v>
      </c>
      <c r="W104" s="25">
        <f t="shared" si="115"/>
        <v>0</v>
      </c>
      <c r="X104" s="24">
        <f t="shared" si="116"/>
        <v>0</v>
      </c>
      <c r="Y104" s="26">
        <f t="shared" si="117"/>
        <v>0</v>
      </c>
      <c r="Z104" s="27">
        <f t="shared" si="118"/>
        <v>0</v>
      </c>
      <c r="AA104" s="28">
        <f t="shared" si="119"/>
        <v>45208</v>
      </c>
      <c r="AB104" s="24">
        <f t="shared" si="120"/>
        <v>0</v>
      </c>
      <c r="AC104" s="25">
        <f t="shared" si="121"/>
        <v>0</v>
      </c>
      <c r="AD104" s="28">
        <f t="shared" si="122"/>
        <v>45208</v>
      </c>
      <c r="AE104" s="24">
        <f t="shared" si="123"/>
        <v>0</v>
      </c>
      <c r="AF104" s="25">
        <f t="shared" si="124"/>
        <v>0</v>
      </c>
      <c r="AG104" s="28">
        <f t="shared" si="125"/>
        <v>45208</v>
      </c>
      <c r="AH104" s="24">
        <f t="shared" si="126"/>
        <v>0</v>
      </c>
      <c r="AI104" s="25">
        <f t="shared" si="127"/>
        <v>0</v>
      </c>
      <c r="AJ104" s="28">
        <f t="shared" si="128"/>
        <v>45208</v>
      </c>
      <c r="AK104" s="24">
        <f t="shared" si="129"/>
        <v>0</v>
      </c>
      <c r="AL104" s="25">
        <f t="shared" si="130"/>
        <v>0</v>
      </c>
      <c r="AM104" s="29">
        <f t="shared" si="131"/>
        <v>0</v>
      </c>
      <c r="AN104" s="28">
        <f t="shared" si="132"/>
        <v>45208</v>
      </c>
      <c r="AO104" s="373">
        <f t="shared" si="101"/>
        <v>0</v>
      </c>
      <c r="AP104" s="374">
        <f t="shared" si="102"/>
        <v>0</v>
      </c>
      <c r="AQ104" s="27">
        <f t="shared" si="103"/>
        <v>0</v>
      </c>
      <c r="AR104" s="25">
        <f t="shared" si="104"/>
        <v>0</v>
      </c>
      <c r="AS104" s="25">
        <f t="shared" si="105"/>
        <v>0</v>
      </c>
      <c r="AT104" s="25">
        <f t="shared" si="106"/>
        <v>0</v>
      </c>
      <c r="AU104" s="29">
        <f t="shared" si="163"/>
        <v>0</v>
      </c>
      <c r="AV104" s="27">
        <f t="shared" si="133"/>
        <v>0</v>
      </c>
      <c r="AW104" s="27">
        <f t="shared" si="134"/>
        <v>0</v>
      </c>
      <c r="AX104" s="27">
        <f t="shared" si="135"/>
        <v>0</v>
      </c>
      <c r="AY104" s="27">
        <f t="shared" si="136"/>
        <v>0</v>
      </c>
      <c r="BH104" s="2">
        <f t="shared" si="137"/>
        <v>0</v>
      </c>
      <c r="BI104" s="298" t="str">
        <f t="shared" si="138"/>
        <v/>
      </c>
      <c r="BJ104" s="298" t="str">
        <f t="shared" si="107"/>
        <v/>
      </c>
      <c r="BQ104" s="4">
        <f t="shared" si="139"/>
        <v>45208</v>
      </c>
      <c r="BR104" s="112">
        <f t="shared" si="140"/>
        <v>0</v>
      </c>
      <c r="BS104" s="112">
        <f t="shared" si="141"/>
        <v>0</v>
      </c>
      <c r="BT104" s="112">
        <f t="shared" si="142"/>
        <v>0</v>
      </c>
      <c r="BU104" s="112">
        <f t="shared" si="143"/>
        <v>0</v>
      </c>
      <c r="BV104" s="112">
        <f t="shared" si="144"/>
        <v>0</v>
      </c>
      <c r="CI104" s="4">
        <f t="shared" si="145"/>
        <v>45208</v>
      </c>
      <c r="CJ104" s="50">
        <f ca="1">IF($BH104=0,IF($CO104="",CJ103+R104,IF('283'!$K$251=1,VLOOKUP($CO104,PerStBal,2)+R104,IF('283'!$K$253=1,(VLOOKUP($CO104,PerPortion,2)*VLOOKUP($CO104,PerStBal,6))+R104,GL!BS104))),0)</f>
        <v>0</v>
      </c>
      <c r="CK104" s="425">
        <f ca="1">IF($BH104=0,IF($CO104="",CK103+T104,IF('283'!$K$251=1,IF(mname2&lt;&gt;"",VLOOKUP($CO104,PerStBal,3)+T104,0),IF('283'!$K$253=1,(VLOOKUP($CO104,PerPortion,3)*VLOOKUP($CO104,PerStBal,6))+T104,GL!BT104))),0)</f>
        <v>0</v>
      </c>
      <c r="CL104" s="425">
        <f ca="1">IF($BH104=0,IF($CO104="",CL103+V104,IF('283'!$K$251=1,IF(mname3&lt;&gt;"",VLOOKUP($CO104,PerStBal,4)+V104,0),IF('283'!$K$253=1,(VLOOKUP($CO104,PerPortion,4)*VLOOKUP($CO104,PerStBal,6))+V104,GL!BU104))),0)</f>
        <v>0</v>
      </c>
      <c r="CM104" s="425">
        <f ca="1">IF($BH104=0,IF($CO104="",CM103+X104,IF('283'!$K$251=1,IF(mname4&lt;&gt;"",VLOOKUP($CO104,PerStBal,5)+X104,0),IF('283'!$K$253=1,(VLOOKUP($CO104,PerPortion,5)*VLOOKUP($CO104,PerStBal,6))+X104,GL!BV104))),0)</f>
        <v>0</v>
      </c>
      <c r="CN104" s="50">
        <f t="shared" ca="1" si="146"/>
        <v>0</v>
      </c>
      <c r="CO104" s="4" t="str">
        <f t="shared" ca="1" si="147"/>
        <v/>
      </c>
      <c r="CP104" s="377">
        <f t="shared" si="108"/>
        <v>0</v>
      </c>
      <c r="DI104" s="4">
        <f t="shared" si="148"/>
        <v>45208</v>
      </c>
      <c r="DJ104" s="112">
        <f t="shared" ca="1" si="149"/>
        <v>0</v>
      </c>
      <c r="DK104" s="112">
        <f t="shared" si="150"/>
        <v>0</v>
      </c>
      <c r="DL104" s="4">
        <f t="shared" si="151"/>
        <v>45208</v>
      </c>
      <c r="DM104" s="112">
        <f t="shared" ca="1" si="152"/>
        <v>0</v>
      </c>
      <c r="DN104" s="112">
        <f t="shared" si="153"/>
        <v>0</v>
      </c>
      <c r="DO104" s="4">
        <f t="shared" si="154"/>
        <v>45208</v>
      </c>
      <c r="DP104" s="112">
        <f t="shared" ca="1" si="155"/>
        <v>0</v>
      </c>
      <c r="DQ104" s="112">
        <f t="shared" si="156"/>
        <v>0</v>
      </c>
      <c r="DR104" s="4">
        <f t="shared" si="157"/>
        <v>45208</v>
      </c>
      <c r="DS104" s="112">
        <f t="shared" ca="1" si="158"/>
        <v>0</v>
      </c>
      <c r="DT104" s="112">
        <f t="shared" si="159"/>
        <v>0</v>
      </c>
      <c r="DU104" s="4">
        <f t="shared" si="160"/>
        <v>45208</v>
      </c>
      <c r="DV104" s="112">
        <f t="shared" si="161"/>
        <v>0</v>
      </c>
      <c r="DW104" s="112">
        <f t="shared" si="162"/>
        <v>0</v>
      </c>
    </row>
    <row r="105" spans="1:127" x14ac:dyDescent="0.25">
      <c r="A105" s="128" t="b">
        <f>IF(COUNTBLANK(D105:G105)&lt;4,TRUE,FALSE)</f>
        <v>0</v>
      </c>
      <c r="B105" s="2" t="s">
        <v>118</v>
      </c>
      <c r="D105" s="68" t="str">
        <f>IF(AND(COUNTBLANK(C232:C241)&lt;10,OR(D100&gt;0,K100&gt;0)),"TOO MANY","")</f>
        <v/>
      </c>
      <c r="E105" s="68" t="str">
        <f>IF(AND(COUNTBLANK(D232:D241)&lt;10,OR(E100&gt;0,L100&gt;0)),"TOO MANY","")</f>
        <v/>
      </c>
      <c r="F105" s="68" t="str">
        <f>IF(AND(COUNTBLANK(E232:E241)&lt;10,OR(F100&gt;0,M100&gt;0)),"TOO MANY","")</f>
        <v/>
      </c>
      <c r="G105" s="68" t="str">
        <f>IF(AND(COUNTBLANK(F232:F241)&lt;10,OR(G100&gt;0,N100&gt;0)),"TOO MANY","")</f>
        <v/>
      </c>
      <c r="I105" s="69"/>
      <c r="J105" s="5" t="s">
        <v>115</v>
      </c>
      <c r="K105" s="66">
        <f>IF(K95&gt;0,$J95,K104)</f>
        <v>45108</v>
      </c>
      <c r="L105" s="66">
        <f>IF(L95&gt;0,$J95,L104)</f>
        <v>45108</v>
      </c>
      <c r="M105" s="66">
        <f>IF(M95&gt;0,$J95,M104)</f>
        <v>45108</v>
      </c>
      <c r="N105" s="66">
        <f>IF(N95&gt;0,$J95,N104)</f>
        <v>45108</v>
      </c>
      <c r="Q105" s="4">
        <f t="shared" si="109"/>
        <v>45209</v>
      </c>
      <c r="R105" s="24">
        <f t="shared" si="110"/>
        <v>0</v>
      </c>
      <c r="S105" s="25">
        <f t="shared" si="111"/>
        <v>0</v>
      </c>
      <c r="T105" s="24">
        <f t="shared" si="112"/>
        <v>0</v>
      </c>
      <c r="U105" s="25">
        <f t="shared" si="113"/>
        <v>0</v>
      </c>
      <c r="V105" s="24">
        <f t="shared" si="114"/>
        <v>0</v>
      </c>
      <c r="W105" s="25">
        <f t="shared" si="115"/>
        <v>0</v>
      </c>
      <c r="X105" s="24">
        <f t="shared" si="116"/>
        <v>0</v>
      </c>
      <c r="Y105" s="26">
        <f t="shared" si="117"/>
        <v>0</v>
      </c>
      <c r="Z105" s="27">
        <f t="shared" si="118"/>
        <v>0</v>
      </c>
      <c r="AA105" s="28">
        <f t="shared" si="119"/>
        <v>45209</v>
      </c>
      <c r="AB105" s="24">
        <f t="shared" si="120"/>
        <v>0</v>
      </c>
      <c r="AC105" s="25">
        <f t="shared" si="121"/>
        <v>0</v>
      </c>
      <c r="AD105" s="28">
        <f t="shared" si="122"/>
        <v>45209</v>
      </c>
      <c r="AE105" s="24">
        <f t="shared" si="123"/>
        <v>0</v>
      </c>
      <c r="AF105" s="25">
        <f t="shared" si="124"/>
        <v>0</v>
      </c>
      <c r="AG105" s="28">
        <f t="shared" si="125"/>
        <v>45209</v>
      </c>
      <c r="AH105" s="24">
        <f t="shared" si="126"/>
        <v>0</v>
      </c>
      <c r="AI105" s="25">
        <f t="shared" si="127"/>
        <v>0</v>
      </c>
      <c r="AJ105" s="28">
        <f t="shared" si="128"/>
        <v>45209</v>
      </c>
      <c r="AK105" s="24">
        <f t="shared" si="129"/>
        <v>0</v>
      </c>
      <c r="AL105" s="25">
        <f t="shared" si="130"/>
        <v>0</v>
      </c>
      <c r="AM105" s="29">
        <f t="shared" si="131"/>
        <v>0</v>
      </c>
      <c r="AN105" s="28">
        <f t="shared" si="132"/>
        <v>45209</v>
      </c>
      <c r="AO105" s="373">
        <f t="shared" si="101"/>
        <v>0</v>
      </c>
      <c r="AP105" s="374">
        <f t="shared" si="102"/>
        <v>0</v>
      </c>
      <c r="AQ105" s="27">
        <f t="shared" si="103"/>
        <v>0</v>
      </c>
      <c r="AR105" s="25">
        <f t="shared" si="104"/>
        <v>0</v>
      </c>
      <c r="AS105" s="25">
        <f t="shared" si="105"/>
        <v>0</v>
      </c>
      <c r="AT105" s="25">
        <f t="shared" si="106"/>
        <v>0</v>
      </c>
      <c r="AU105" s="29">
        <f t="shared" si="163"/>
        <v>0</v>
      </c>
      <c r="AV105" s="27">
        <f t="shared" si="133"/>
        <v>0</v>
      </c>
      <c r="AW105" s="27">
        <f t="shared" si="134"/>
        <v>0</v>
      </c>
      <c r="AX105" s="27">
        <f t="shared" si="135"/>
        <v>0</v>
      </c>
      <c r="AY105" s="27">
        <f t="shared" si="136"/>
        <v>0</v>
      </c>
      <c r="BH105" s="2">
        <f t="shared" si="137"/>
        <v>0</v>
      </c>
      <c r="BI105" s="298" t="str">
        <f t="shared" si="138"/>
        <v/>
      </c>
      <c r="BJ105" s="298" t="str">
        <f t="shared" si="107"/>
        <v/>
      </c>
      <c r="BQ105" s="4">
        <f t="shared" si="139"/>
        <v>45209</v>
      </c>
      <c r="BR105" s="112">
        <f t="shared" si="140"/>
        <v>0</v>
      </c>
      <c r="BS105" s="112">
        <f t="shared" si="141"/>
        <v>0</v>
      </c>
      <c r="BT105" s="112">
        <f t="shared" si="142"/>
        <v>0</v>
      </c>
      <c r="BU105" s="112">
        <f t="shared" si="143"/>
        <v>0</v>
      </c>
      <c r="BV105" s="112">
        <f t="shared" si="144"/>
        <v>0</v>
      </c>
      <c r="CI105" s="4">
        <f t="shared" si="145"/>
        <v>45209</v>
      </c>
      <c r="CJ105" s="50">
        <f ca="1">IF($BH105=0,IF($CO105="",CJ104+R105,IF('283'!$K$251=1,VLOOKUP($CO105,PerStBal,2)+R105,IF('283'!$K$253=1,(VLOOKUP($CO105,PerPortion,2)*VLOOKUP($CO105,PerStBal,6))+R105,GL!BS105))),0)</f>
        <v>0</v>
      </c>
      <c r="CK105" s="425">
        <f ca="1">IF($BH105=0,IF($CO105="",CK104+T105,IF('283'!$K$251=1,IF(mname2&lt;&gt;"",VLOOKUP($CO105,PerStBal,3)+T105,0),IF('283'!$K$253=1,(VLOOKUP($CO105,PerPortion,3)*VLOOKUP($CO105,PerStBal,6))+T105,GL!BT105))),0)</f>
        <v>0</v>
      </c>
      <c r="CL105" s="425">
        <f ca="1">IF($BH105=0,IF($CO105="",CL104+V105,IF('283'!$K$251=1,IF(mname3&lt;&gt;"",VLOOKUP($CO105,PerStBal,4)+V105,0),IF('283'!$K$253=1,(VLOOKUP($CO105,PerPortion,4)*VLOOKUP($CO105,PerStBal,6))+V105,GL!BU105))),0)</f>
        <v>0</v>
      </c>
      <c r="CM105" s="425">
        <f ca="1">IF($BH105=0,IF($CO105="",CM104+X105,IF('283'!$K$251=1,IF(mname4&lt;&gt;"",VLOOKUP($CO105,PerStBal,5)+X105,0),IF('283'!$K$253=1,(VLOOKUP($CO105,PerPortion,5)*VLOOKUP($CO105,PerStBal,6))+X105,GL!BV105))),0)</f>
        <v>0</v>
      </c>
      <c r="CN105" s="50">
        <f t="shared" ca="1" si="146"/>
        <v>0</v>
      </c>
      <c r="CO105" s="4" t="str">
        <f t="shared" ca="1" si="147"/>
        <v/>
      </c>
      <c r="CP105" s="377">
        <f t="shared" si="108"/>
        <v>0</v>
      </c>
      <c r="DI105" s="4">
        <f t="shared" si="148"/>
        <v>45209</v>
      </c>
      <c r="DJ105" s="112">
        <f t="shared" ca="1" si="149"/>
        <v>0</v>
      </c>
      <c r="DK105" s="112">
        <f t="shared" si="150"/>
        <v>0</v>
      </c>
      <c r="DL105" s="4">
        <f t="shared" si="151"/>
        <v>45209</v>
      </c>
      <c r="DM105" s="112">
        <f t="shared" ca="1" si="152"/>
        <v>0</v>
      </c>
      <c r="DN105" s="112">
        <f t="shared" si="153"/>
        <v>0</v>
      </c>
      <c r="DO105" s="4">
        <f t="shared" si="154"/>
        <v>45209</v>
      </c>
      <c r="DP105" s="112">
        <f t="shared" ca="1" si="155"/>
        <v>0</v>
      </c>
      <c r="DQ105" s="112">
        <f t="shared" si="156"/>
        <v>0</v>
      </c>
      <c r="DR105" s="4">
        <f t="shared" si="157"/>
        <v>45209</v>
      </c>
      <c r="DS105" s="112">
        <f t="shared" ca="1" si="158"/>
        <v>0</v>
      </c>
      <c r="DT105" s="112">
        <f t="shared" si="159"/>
        <v>0</v>
      </c>
      <c r="DU105" s="4">
        <f t="shared" si="160"/>
        <v>45209</v>
      </c>
      <c r="DV105" s="112">
        <f t="shared" si="161"/>
        <v>0</v>
      </c>
      <c r="DW105" s="112">
        <f t="shared" si="162"/>
        <v>0</v>
      </c>
    </row>
    <row r="106" spans="1:127" x14ac:dyDescent="0.25">
      <c r="C106" s="599" t="s">
        <v>119</v>
      </c>
      <c r="D106" s="599"/>
      <c r="E106" s="599"/>
      <c r="F106" s="599"/>
      <c r="G106" s="599"/>
      <c r="H106" s="70">
        <f>[0]!yrstart</f>
        <v>45108</v>
      </c>
      <c r="I106" s="71" t="s">
        <v>120</v>
      </c>
      <c r="O106" s="127" t="b">
        <f ca="1">IF(OR(ITError,O108,O109),TRUE,FALSE)</f>
        <v>0</v>
      </c>
      <c r="Q106" s="4">
        <f t="shared" si="109"/>
        <v>45210</v>
      </c>
      <c r="R106" s="24">
        <f t="shared" si="110"/>
        <v>0</v>
      </c>
      <c r="S106" s="25">
        <f t="shared" si="111"/>
        <v>0</v>
      </c>
      <c r="T106" s="24">
        <f t="shared" si="112"/>
        <v>0</v>
      </c>
      <c r="U106" s="25">
        <f t="shared" si="113"/>
        <v>0</v>
      </c>
      <c r="V106" s="24">
        <f t="shared" si="114"/>
        <v>0</v>
      </c>
      <c r="W106" s="25">
        <f t="shared" si="115"/>
        <v>0</v>
      </c>
      <c r="X106" s="24">
        <f t="shared" si="116"/>
        <v>0</v>
      </c>
      <c r="Y106" s="26">
        <f t="shared" si="117"/>
        <v>0</v>
      </c>
      <c r="Z106" s="27">
        <f t="shared" si="118"/>
        <v>0</v>
      </c>
      <c r="AA106" s="28">
        <f t="shared" si="119"/>
        <v>45210</v>
      </c>
      <c r="AB106" s="24">
        <f t="shared" si="120"/>
        <v>0</v>
      </c>
      <c r="AC106" s="25">
        <f t="shared" si="121"/>
        <v>0</v>
      </c>
      <c r="AD106" s="28">
        <f t="shared" si="122"/>
        <v>45210</v>
      </c>
      <c r="AE106" s="24">
        <f t="shared" si="123"/>
        <v>0</v>
      </c>
      <c r="AF106" s="25">
        <f t="shared" si="124"/>
        <v>0</v>
      </c>
      <c r="AG106" s="28">
        <f t="shared" si="125"/>
        <v>45210</v>
      </c>
      <c r="AH106" s="24">
        <f t="shared" si="126"/>
        <v>0</v>
      </c>
      <c r="AI106" s="25">
        <f t="shared" si="127"/>
        <v>0</v>
      </c>
      <c r="AJ106" s="28">
        <f t="shared" si="128"/>
        <v>45210</v>
      </c>
      <c r="AK106" s="24">
        <f t="shared" si="129"/>
        <v>0</v>
      </c>
      <c r="AL106" s="25">
        <f t="shared" si="130"/>
        <v>0</v>
      </c>
      <c r="AM106" s="29">
        <f t="shared" si="131"/>
        <v>0</v>
      </c>
      <c r="AN106" s="28">
        <f t="shared" si="132"/>
        <v>45210</v>
      </c>
      <c r="AO106" s="373">
        <f t="shared" si="101"/>
        <v>0</v>
      </c>
      <c r="AP106" s="374">
        <f t="shared" si="102"/>
        <v>0</v>
      </c>
      <c r="AQ106" s="27">
        <f t="shared" si="103"/>
        <v>0</v>
      </c>
      <c r="AR106" s="25">
        <f t="shared" si="104"/>
        <v>0</v>
      </c>
      <c r="AS106" s="25">
        <f t="shared" si="105"/>
        <v>0</v>
      </c>
      <c r="AT106" s="25">
        <f t="shared" si="106"/>
        <v>0</v>
      </c>
      <c r="AU106" s="29">
        <f t="shared" si="163"/>
        <v>0</v>
      </c>
      <c r="AV106" s="27">
        <f t="shared" si="133"/>
        <v>0</v>
      </c>
      <c r="AW106" s="27">
        <f t="shared" si="134"/>
        <v>0</v>
      </c>
      <c r="AX106" s="27">
        <f t="shared" si="135"/>
        <v>0</v>
      </c>
      <c r="AY106" s="27">
        <f t="shared" si="136"/>
        <v>0</v>
      </c>
      <c r="BH106" s="2">
        <f t="shared" si="137"/>
        <v>0</v>
      </c>
      <c r="BI106" s="298" t="str">
        <f t="shared" si="138"/>
        <v/>
      </c>
      <c r="BJ106" s="298" t="str">
        <f t="shared" si="107"/>
        <v/>
      </c>
      <c r="BQ106" s="4">
        <f t="shared" si="139"/>
        <v>45210</v>
      </c>
      <c r="BR106" s="112">
        <f t="shared" si="140"/>
        <v>0</v>
      </c>
      <c r="BS106" s="112">
        <f t="shared" si="141"/>
        <v>0</v>
      </c>
      <c r="BT106" s="112">
        <f t="shared" si="142"/>
        <v>0</v>
      </c>
      <c r="BU106" s="112">
        <f t="shared" si="143"/>
        <v>0</v>
      </c>
      <c r="BV106" s="112">
        <f t="shared" si="144"/>
        <v>0</v>
      </c>
      <c r="CI106" s="4">
        <f t="shared" si="145"/>
        <v>45210</v>
      </c>
      <c r="CJ106" s="50">
        <f ca="1">IF($BH106=0,IF($CO106="",CJ105+R106,IF('283'!$K$251=1,VLOOKUP($CO106,PerStBal,2)+R106,IF('283'!$K$253=1,(VLOOKUP($CO106,PerPortion,2)*VLOOKUP($CO106,PerStBal,6))+R106,GL!BS106))),0)</f>
        <v>0</v>
      </c>
      <c r="CK106" s="425">
        <f ca="1">IF($BH106=0,IF($CO106="",CK105+T106,IF('283'!$K$251=1,IF(mname2&lt;&gt;"",VLOOKUP($CO106,PerStBal,3)+T106,0),IF('283'!$K$253=1,(VLOOKUP($CO106,PerPortion,3)*VLOOKUP($CO106,PerStBal,6))+T106,GL!BT106))),0)</f>
        <v>0</v>
      </c>
      <c r="CL106" s="425">
        <f ca="1">IF($BH106=0,IF($CO106="",CL105+V106,IF('283'!$K$251=1,IF(mname3&lt;&gt;"",VLOOKUP($CO106,PerStBal,4)+V106,0),IF('283'!$K$253=1,(VLOOKUP($CO106,PerPortion,4)*VLOOKUP($CO106,PerStBal,6))+V106,GL!BU106))),0)</f>
        <v>0</v>
      </c>
      <c r="CM106" s="425">
        <f ca="1">IF($BH106=0,IF($CO106="",CM105+X106,IF('283'!$K$251=1,IF(mname4&lt;&gt;"",VLOOKUP($CO106,PerStBal,5)+X106,0),IF('283'!$K$253=1,(VLOOKUP($CO106,PerPortion,5)*VLOOKUP($CO106,PerStBal,6))+X106,GL!BV106))),0)</f>
        <v>0</v>
      </c>
      <c r="CN106" s="50">
        <f t="shared" ca="1" si="146"/>
        <v>0</v>
      </c>
      <c r="CO106" s="4" t="str">
        <f t="shared" ca="1" si="147"/>
        <v/>
      </c>
      <c r="CP106" s="377">
        <f t="shared" si="108"/>
        <v>0</v>
      </c>
      <c r="DI106" s="4">
        <f t="shared" si="148"/>
        <v>45210</v>
      </c>
      <c r="DJ106" s="112">
        <f t="shared" ca="1" si="149"/>
        <v>0</v>
      </c>
      <c r="DK106" s="112">
        <f t="shared" si="150"/>
        <v>0</v>
      </c>
      <c r="DL106" s="4">
        <f t="shared" si="151"/>
        <v>45210</v>
      </c>
      <c r="DM106" s="112">
        <f t="shared" ca="1" si="152"/>
        <v>0</v>
      </c>
      <c r="DN106" s="112">
        <f t="shared" si="153"/>
        <v>0</v>
      </c>
      <c r="DO106" s="4">
        <f t="shared" si="154"/>
        <v>45210</v>
      </c>
      <c r="DP106" s="112">
        <f t="shared" ca="1" si="155"/>
        <v>0</v>
      </c>
      <c r="DQ106" s="112">
        <f t="shared" si="156"/>
        <v>0</v>
      </c>
      <c r="DR106" s="4">
        <f t="shared" si="157"/>
        <v>45210</v>
      </c>
      <c r="DS106" s="112">
        <f t="shared" ca="1" si="158"/>
        <v>0</v>
      </c>
      <c r="DT106" s="112">
        <f t="shared" si="159"/>
        <v>0</v>
      </c>
      <c r="DU106" s="4">
        <f t="shared" si="160"/>
        <v>45210</v>
      </c>
      <c r="DV106" s="112">
        <f t="shared" si="161"/>
        <v>0</v>
      </c>
      <c r="DW106" s="112">
        <f t="shared" si="162"/>
        <v>0</v>
      </c>
    </row>
    <row r="107" spans="1:127" x14ac:dyDescent="0.25">
      <c r="C107" s="599" t="s">
        <v>121</v>
      </c>
      <c r="D107" s="599"/>
      <c r="E107" s="599"/>
      <c r="F107" s="599"/>
      <c r="G107" s="599"/>
      <c r="H107" s="70">
        <f>[0]!yrend+1</f>
        <v>45474</v>
      </c>
      <c r="I107" s="71">
        <f>H107-H106</f>
        <v>366</v>
      </c>
      <c r="O107" s="127" t="b">
        <f ca="1">IF(SUM(K314,D314)&gt;0,TRUE,FALSE)</f>
        <v>0</v>
      </c>
      <c r="Q107" s="4">
        <f t="shared" si="109"/>
        <v>45211</v>
      </c>
      <c r="R107" s="24">
        <f t="shared" si="110"/>
        <v>0</v>
      </c>
      <c r="S107" s="25">
        <f t="shared" si="111"/>
        <v>0</v>
      </c>
      <c r="T107" s="24">
        <f t="shared" si="112"/>
        <v>0</v>
      </c>
      <c r="U107" s="25">
        <f t="shared" si="113"/>
        <v>0</v>
      </c>
      <c r="V107" s="24">
        <f t="shared" si="114"/>
        <v>0</v>
      </c>
      <c r="W107" s="25">
        <f t="shared" si="115"/>
        <v>0</v>
      </c>
      <c r="X107" s="24">
        <f t="shared" si="116"/>
        <v>0</v>
      </c>
      <c r="Y107" s="26">
        <f t="shared" si="117"/>
        <v>0</v>
      </c>
      <c r="Z107" s="27">
        <f t="shared" si="118"/>
        <v>0</v>
      </c>
      <c r="AA107" s="28">
        <f t="shared" si="119"/>
        <v>45211</v>
      </c>
      <c r="AB107" s="24">
        <f t="shared" si="120"/>
        <v>0</v>
      </c>
      <c r="AC107" s="25">
        <f t="shared" si="121"/>
        <v>0</v>
      </c>
      <c r="AD107" s="28">
        <f t="shared" si="122"/>
        <v>45211</v>
      </c>
      <c r="AE107" s="24">
        <f t="shared" si="123"/>
        <v>0</v>
      </c>
      <c r="AF107" s="25">
        <f t="shared" si="124"/>
        <v>0</v>
      </c>
      <c r="AG107" s="28">
        <f t="shared" si="125"/>
        <v>45211</v>
      </c>
      <c r="AH107" s="24">
        <f t="shared" si="126"/>
        <v>0</v>
      </c>
      <c r="AI107" s="25">
        <f t="shared" si="127"/>
        <v>0</v>
      </c>
      <c r="AJ107" s="28">
        <f t="shared" si="128"/>
        <v>45211</v>
      </c>
      <c r="AK107" s="24">
        <f t="shared" si="129"/>
        <v>0</v>
      </c>
      <c r="AL107" s="25">
        <f t="shared" si="130"/>
        <v>0</v>
      </c>
      <c r="AM107" s="29">
        <f t="shared" si="131"/>
        <v>0</v>
      </c>
      <c r="AN107" s="28">
        <f t="shared" si="132"/>
        <v>45211</v>
      </c>
      <c r="AO107" s="373">
        <f t="shared" si="101"/>
        <v>0</v>
      </c>
      <c r="AP107" s="374">
        <f t="shared" si="102"/>
        <v>0</v>
      </c>
      <c r="AQ107" s="27">
        <f t="shared" si="103"/>
        <v>0</v>
      </c>
      <c r="AR107" s="25">
        <f t="shared" si="104"/>
        <v>0</v>
      </c>
      <c r="AS107" s="25">
        <f t="shared" si="105"/>
        <v>0</v>
      </c>
      <c r="AT107" s="25">
        <f t="shared" si="106"/>
        <v>0</v>
      </c>
      <c r="AU107" s="29">
        <f t="shared" si="163"/>
        <v>0</v>
      </c>
      <c r="AV107" s="27">
        <f t="shared" si="133"/>
        <v>0</v>
      </c>
      <c r="AW107" s="27">
        <f t="shared" si="134"/>
        <v>0</v>
      </c>
      <c r="AX107" s="27">
        <f t="shared" si="135"/>
        <v>0</v>
      </c>
      <c r="AY107" s="27">
        <f t="shared" si="136"/>
        <v>0</v>
      </c>
      <c r="BH107" s="2">
        <f t="shared" si="137"/>
        <v>0</v>
      </c>
      <c r="BI107" s="298" t="str">
        <f t="shared" si="138"/>
        <v/>
      </c>
      <c r="BJ107" s="298" t="str">
        <f t="shared" si="107"/>
        <v/>
      </c>
      <c r="BQ107" s="4">
        <f t="shared" si="139"/>
        <v>45211</v>
      </c>
      <c r="BR107" s="112">
        <f t="shared" si="140"/>
        <v>0</v>
      </c>
      <c r="BS107" s="112">
        <f t="shared" si="141"/>
        <v>0</v>
      </c>
      <c r="BT107" s="112">
        <f t="shared" si="142"/>
        <v>0</v>
      </c>
      <c r="BU107" s="112">
        <f t="shared" si="143"/>
        <v>0</v>
      </c>
      <c r="BV107" s="112">
        <f t="shared" si="144"/>
        <v>0</v>
      </c>
      <c r="CI107" s="4">
        <f t="shared" si="145"/>
        <v>45211</v>
      </c>
      <c r="CJ107" s="50">
        <f ca="1">IF($BH107=0,IF($CO107="",CJ106+R107,IF('283'!$K$251=1,VLOOKUP($CO107,PerStBal,2)+R107,IF('283'!$K$253=1,(VLOOKUP($CO107,PerPortion,2)*VLOOKUP($CO107,PerStBal,6))+R107,GL!BS107))),0)</f>
        <v>0</v>
      </c>
      <c r="CK107" s="425">
        <f ca="1">IF($BH107=0,IF($CO107="",CK106+T107,IF('283'!$K$251=1,IF(mname2&lt;&gt;"",VLOOKUP($CO107,PerStBal,3)+T107,0),IF('283'!$K$253=1,(VLOOKUP($CO107,PerPortion,3)*VLOOKUP($CO107,PerStBal,6))+T107,GL!BT107))),0)</f>
        <v>0</v>
      </c>
      <c r="CL107" s="425">
        <f ca="1">IF($BH107=0,IF($CO107="",CL106+V107,IF('283'!$K$251=1,IF(mname3&lt;&gt;"",VLOOKUP($CO107,PerStBal,4)+V107,0),IF('283'!$K$253=1,(VLOOKUP($CO107,PerPortion,4)*VLOOKUP($CO107,PerStBal,6))+V107,GL!BU107))),0)</f>
        <v>0</v>
      </c>
      <c r="CM107" s="425">
        <f ca="1">IF($BH107=0,IF($CO107="",CM106+X107,IF('283'!$K$251=1,IF(mname4&lt;&gt;"",VLOOKUP($CO107,PerStBal,5)+X107,0),IF('283'!$K$253=1,(VLOOKUP($CO107,PerPortion,5)*VLOOKUP($CO107,PerStBal,6))+X107,GL!BV107))),0)</f>
        <v>0</v>
      </c>
      <c r="CN107" s="50">
        <f t="shared" ca="1" si="146"/>
        <v>0</v>
      </c>
      <c r="CO107" s="4" t="str">
        <f t="shared" ca="1" si="147"/>
        <v/>
      </c>
      <c r="CP107" s="377">
        <f t="shared" si="108"/>
        <v>0</v>
      </c>
      <c r="DI107" s="4">
        <f t="shared" si="148"/>
        <v>45211</v>
      </c>
      <c r="DJ107" s="112">
        <f t="shared" ca="1" si="149"/>
        <v>0</v>
      </c>
      <c r="DK107" s="112">
        <f t="shared" si="150"/>
        <v>0</v>
      </c>
      <c r="DL107" s="4">
        <f t="shared" si="151"/>
        <v>45211</v>
      </c>
      <c r="DM107" s="112">
        <f t="shared" ca="1" si="152"/>
        <v>0</v>
      </c>
      <c r="DN107" s="112">
        <f t="shared" si="153"/>
        <v>0</v>
      </c>
      <c r="DO107" s="4">
        <f t="shared" si="154"/>
        <v>45211</v>
      </c>
      <c r="DP107" s="112">
        <f t="shared" ca="1" si="155"/>
        <v>0</v>
      </c>
      <c r="DQ107" s="112">
        <f t="shared" si="156"/>
        <v>0</v>
      </c>
      <c r="DR107" s="4">
        <f t="shared" si="157"/>
        <v>45211</v>
      </c>
      <c r="DS107" s="112">
        <f t="shared" ca="1" si="158"/>
        <v>0</v>
      </c>
      <c r="DT107" s="112">
        <f t="shared" si="159"/>
        <v>0</v>
      </c>
      <c r="DU107" s="4">
        <f t="shared" si="160"/>
        <v>45211</v>
      </c>
      <c r="DV107" s="112">
        <f t="shared" si="161"/>
        <v>0</v>
      </c>
      <c r="DW107" s="112">
        <f t="shared" si="162"/>
        <v>0</v>
      </c>
    </row>
    <row r="108" spans="1:127" x14ac:dyDescent="0.25">
      <c r="C108" s="72">
        <f ca="1">IF(C109&gt;0,C111/C109,0)</f>
        <v>0</v>
      </c>
      <c r="D108" s="72">
        <f ca="1">IF(D109&gt;0,D111/D109,0)</f>
        <v>0</v>
      </c>
      <c r="E108" s="72">
        <f ca="1">IF(E109&gt;0,E111/E109,0)</f>
        <v>0</v>
      </c>
      <c r="F108" s="72">
        <f ca="1">IF(F109&gt;0,F111/F109,0)</f>
        <v>0</v>
      </c>
      <c r="O108" s="127"/>
      <c r="P108" s="54"/>
      <c r="Q108" s="4">
        <f t="shared" si="109"/>
        <v>45212</v>
      </c>
      <c r="R108" s="24">
        <f t="shared" si="110"/>
        <v>0</v>
      </c>
      <c r="S108" s="25">
        <f t="shared" si="111"/>
        <v>0</v>
      </c>
      <c r="T108" s="24">
        <f t="shared" si="112"/>
        <v>0</v>
      </c>
      <c r="U108" s="25">
        <f t="shared" si="113"/>
        <v>0</v>
      </c>
      <c r="V108" s="24">
        <f t="shared" si="114"/>
        <v>0</v>
      </c>
      <c r="W108" s="25">
        <f t="shared" si="115"/>
        <v>0</v>
      </c>
      <c r="X108" s="24">
        <f t="shared" si="116"/>
        <v>0</v>
      </c>
      <c r="Y108" s="26">
        <f t="shared" si="117"/>
        <v>0</v>
      </c>
      <c r="Z108" s="27">
        <f t="shared" si="118"/>
        <v>0</v>
      </c>
      <c r="AA108" s="28">
        <f t="shared" si="119"/>
        <v>45212</v>
      </c>
      <c r="AB108" s="24">
        <f t="shared" si="120"/>
        <v>0</v>
      </c>
      <c r="AC108" s="25">
        <f t="shared" si="121"/>
        <v>0</v>
      </c>
      <c r="AD108" s="28">
        <f t="shared" si="122"/>
        <v>45212</v>
      </c>
      <c r="AE108" s="24">
        <f t="shared" si="123"/>
        <v>0</v>
      </c>
      <c r="AF108" s="25">
        <f t="shared" si="124"/>
        <v>0</v>
      </c>
      <c r="AG108" s="28">
        <f t="shared" si="125"/>
        <v>45212</v>
      </c>
      <c r="AH108" s="24">
        <f t="shared" si="126"/>
        <v>0</v>
      </c>
      <c r="AI108" s="25">
        <f t="shared" si="127"/>
        <v>0</v>
      </c>
      <c r="AJ108" s="28">
        <f t="shared" si="128"/>
        <v>45212</v>
      </c>
      <c r="AK108" s="24">
        <f t="shared" si="129"/>
        <v>0</v>
      </c>
      <c r="AL108" s="25">
        <f t="shared" si="130"/>
        <v>0</v>
      </c>
      <c r="AM108" s="29">
        <f t="shared" si="131"/>
        <v>0</v>
      </c>
      <c r="AN108" s="28">
        <f t="shared" si="132"/>
        <v>45212</v>
      </c>
      <c r="AO108" s="373">
        <f t="shared" si="101"/>
        <v>0</v>
      </c>
      <c r="AP108" s="374">
        <f t="shared" si="102"/>
        <v>0</v>
      </c>
      <c r="AQ108" s="27">
        <f t="shared" si="103"/>
        <v>0</v>
      </c>
      <c r="AR108" s="25">
        <f t="shared" si="104"/>
        <v>0</v>
      </c>
      <c r="AS108" s="25">
        <f t="shared" si="105"/>
        <v>0</v>
      </c>
      <c r="AT108" s="25">
        <f t="shared" si="106"/>
        <v>0</v>
      </c>
      <c r="AU108" s="29">
        <f t="shared" si="163"/>
        <v>0</v>
      </c>
      <c r="AV108" s="27">
        <f t="shared" si="133"/>
        <v>0</v>
      </c>
      <c r="AW108" s="27">
        <f t="shared" si="134"/>
        <v>0</v>
      </c>
      <c r="AX108" s="27">
        <f t="shared" si="135"/>
        <v>0</v>
      </c>
      <c r="AY108" s="27">
        <f t="shared" si="136"/>
        <v>0</v>
      </c>
      <c r="BH108" s="2">
        <f t="shared" si="137"/>
        <v>0</v>
      </c>
      <c r="BI108" s="298" t="str">
        <f t="shared" si="138"/>
        <v/>
      </c>
      <c r="BJ108" s="298" t="str">
        <f t="shared" si="107"/>
        <v/>
      </c>
      <c r="BQ108" s="4">
        <f t="shared" si="139"/>
        <v>45212</v>
      </c>
      <c r="BR108" s="112">
        <f t="shared" si="140"/>
        <v>0</v>
      </c>
      <c r="BS108" s="112">
        <f t="shared" si="141"/>
        <v>0</v>
      </c>
      <c r="BT108" s="112">
        <f t="shared" si="142"/>
        <v>0</v>
      </c>
      <c r="BU108" s="112">
        <f t="shared" si="143"/>
        <v>0</v>
      </c>
      <c r="BV108" s="112">
        <f t="shared" si="144"/>
        <v>0</v>
      </c>
      <c r="CI108" s="4">
        <f t="shared" si="145"/>
        <v>45212</v>
      </c>
      <c r="CJ108" s="50">
        <f ca="1">IF($BH108=0,IF($CO108="",CJ107+R108,IF('283'!$K$251=1,VLOOKUP($CO108,PerStBal,2)+R108,IF('283'!$K$253=1,(VLOOKUP($CO108,PerPortion,2)*VLOOKUP($CO108,PerStBal,6))+R108,GL!BS108))),0)</f>
        <v>0</v>
      </c>
      <c r="CK108" s="425">
        <f ca="1">IF($BH108=0,IF($CO108="",CK107+T108,IF('283'!$K$251=1,IF(mname2&lt;&gt;"",VLOOKUP($CO108,PerStBal,3)+T108,0),IF('283'!$K$253=1,(VLOOKUP($CO108,PerPortion,3)*VLOOKUP($CO108,PerStBal,6))+T108,GL!BT108))),0)</f>
        <v>0</v>
      </c>
      <c r="CL108" s="425">
        <f ca="1">IF($BH108=0,IF($CO108="",CL107+V108,IF('283'!$K$251=1,IF(mname3&lt;&gt;"",VLOOKUP($CO108,PerStBal,4)+V108,0),IF('283'!$K$253=1,(VLOOKUP($CO108,PerPortion,4)*VLOOKUP($CO108,PerStBal,6))+V108,GL!BU108))),0)</f>
        <v>0</v>
      </c>
      <c r="CM108" s="425">
        <f ca="1">IF($BH108=0,IF($CO108="",CM107+X108,IF('283'!$K$251=1,IF(mname4&lt;&gt;"",VLOOKUP($CO108,PerStBal,5)+X108,0),IF('283'!$K$253=1,(VLOOKUP($CO108,PerPortion,5)*VLOOKUP($CO108,PerStBal,6))+X108,GL!BV108))),0)</f>
        <v>0</v>
      </c>
      <c r="CN108" s="50">
        <f t="shared" ca="1" si="146"/>
        <v>0</v>
      </c>
      <c r="CO108" s="4" t="str">
        <f t="shared" ca="1" si="147"/>
        <v/>
      </c>
      <c r="CP108" s="377">
        <f t="shared" si="108"/>
        <v>0</v>
      </c>
      <c r="DI108" s="4">
        <f t="shared" si="148"/>
        <v>45212</v>
      </c>
      <c r="DJ108" s="112">
        <f t="shared" ca="1" si="149"/>
        <v>0</v>
      </c>
      <c r="DK108" s="112">
        <f t="shared" si="150"/>
        <v>0</v>
      </c>
      <c r="DL108" s="4">
        <f t="shared" si="151"/>
        <v>45212</v>
      </c>
      <c r="DM108" s="112">
        <f t="shared" ca="1" si="152"/>
        <v>0</v>
      </c>
      <c r="DN108" s="112">
        <f t="shared" si="153"/>
        <v>0</v>
      </c>
      <c r="DO108" s="4">
        <f t="shared" si="154"/>
        <v>45212</v>
      </c>
      <c r="DP108" s="112">
        <f t="shared" ca="1" si="155"/>
        <v>0</v>
      </c>
      <c r="DQ108" s="112">
        <f t="shared" si="156"/>
        <v>0</v>
      </c>
      <c r="DR108" s="4">
        <f t="shared" si="157"/>
        <v>45212</v>
      </c>
      <c r="DS108" s="112">
        <f t="shared" ca="1" si="158"/>
        <v>0</v>
      </c>
      <c r="DT108" s="112">
        <f t="shared" si="159"/>
        <v>0</v>
      </c>
      <c r="DU108" s="4">
        <f t="shared" si="160"/>
        <v>45212</v>
      </c>
      <c r="DV108" s="112">
        <f t="shared" si="161"/>
        <v>0</v>
      </c>
      <c r="DW108" s="112">
        <f t="shared" si="162"/>
        <v>0</v>
      </c>
    </row>
    <row r="109" spans="1:127" x14ac:dyDescent="0.25">
      <c r="B109" s="23" t="s">
        <v>21</v>
      </c>
      <c r="C109" s="73">
        <f ca="1">C111+I111</f>
        <v>0</v>
      </c>
      <c r="D109" s="73">
        <f ca="1">D111+J111</f>
        <v>0</v>
      </c>
      <c r="E109" s="73">
        <f ca="1">E111+K111</f>
        <v>0</v>
      </c>
      <c r="F109" s="73">
        <f ca="1">F111+L111</f>
        <v>0</v>
      </c>
      <c r="G109" s="73">
        <f ca="1">M111</f>
        <v>0</v>
      </c>
      <c r="O109" s="127"/>
      <c r="Q109" s="4">
        <f t="shared" si="109"/>
        <v>45213</v>
      </c>
      <c r="R109" s="24">
        <f t="shared" si="110"/>
        <v>0</v>
      </c>
      <c r="S109" s="25">
        <f t="shared" si="111"/>
        <v>0</v>
      </c>
      <c r="T109" s="24">
        <f t="shared" si="112"/>
        <v>0</v>
      </c>
      <c r="U109" s="25">
        <f t="shared" si="113"/>
        <v>0</v>
      </c>
      <c r="V109" s="24">
        <f t="shared" si="114"/>
        <v>0</v>
      </c>
      <c r="W109" s="25">
        <f t="shared" si="115"/>
        <v>0</v>
      </c>
      <c r="X109" s="24">
        <f t="shared" si="116"/>
        <v>0</v>
      </c>
      <c r="Y109" s="26">
        <f t="shared" si="117"/>
        <v>0</v>
      </c>
      <c r="Z109" s="27">
        <f t="shared" si="118"/>
        <v>0</v>
      </c>
      <c r="AA109" s="28">
        <f t="shared" si="119"/>
        <v>45213</v>
      </c>
      <c r="AB109" s="24">
        <f t="shared" si="120"/>
        <v>0</v>
      </c>
      <c r="AC109" s="25">
        <f t="shared" si="121"/>
        <v>0</v>
      </c>
      <c r="AD109" s="28">
        <f t="shared" si="122"/>
        <v>45213</v>
      </c>
      <c r="AE109" s="24">
        <f t="shared" si="123"/>
        <v>0</v>
      </c>
      <c r="AF109" s="25">
        <f t="shared" si="124"/>
        <v>0</v>
      </c>
      <c r="AG109" s="28">
        <f t="shared" si="125"/>
        <v>45213</v>
      </c>
      <c r="AH109" s="24">
        <f t="shared" si="126"/>
        <v>0</v>
      </c>
      <c r="AI109" s="25">
        <f t="shared" si="127"/>
        <v>0</v>
      </c>
      <c r="AJ109" s="28">
        <f t="shared" si="128"/>
        <v>45213</v>
      </c>
      <c r="AK109" s="24">
        <f t="shared" si="129"/>
        <v>0</v>
      </c>
      <c r="AL109" s="25">
        <f t="shared" si="130"/>
        <v>0</v>
      </c>
      <c r="AM109" s="29">
        <f t="shared" si="131"/>
        <v>0</v>
      </c>
      <c r="AN109" s="28">
        <f t="shared" si="132"/>
        <v>45213</v>
      </c>
      <c r="AO109" s="373">
        <f t="shared" si="101"/>
        <v>0</v>
      </c>
      <c r="AP109" s="374">
        <f t="shared" si="102"/>
        <v>0</v>
      </c>
      <c r="AQ109" s="27">
        <f t="shared" si="103"/>
        <v>0</v>
      </c>
      <c r="AR109" s="25">
        <f t="shared" si="104"/>
        <v>0</v>
      </c>
      <c r="AS109" s="25">
        <f t="shared" si="105"/>
        <v>0</v>
      </c>
      <c r="AT109" s="25">
        <f t="shared" si="106"/>
        <v>0</v>
      </c>
      <c r="AU109" s="29">
        <f t="shared" si="163"/>
        <v>0</v>
      </c>
      <c r="AV109" s="27">
        <f t="shared" si="133"/>
        <v>0</v>
      </c>
      <c r="AW109" s="27">
        <f t="shared" si="134"/>
        <v>0</v>
      </c>
      <c r="AX109" s="27">
        <f t="shared" si="135"/>
        <v>0</v>
      </c>
      <c r="AY109" s="27">
        <f t="shared" si="136"/>
        <v>0</v>
      </c>
      <c r="BH109" s="2">
        <f t="shared" si="137"/>
        <v>0</v>
      </c>
      <c r="BI109" s="298" t="str">
        <f t="shared" si="138"/>
        <v/>
      </c>
      <c r="BJ109" s="298" t="str">
        <f t="shared" si="107"/>
        <v/>
      </c>
      <c r="BQ109" s="4">
        <f t="shared" si="139"/>
        <v>45213</v>
      </c>
      <c r="BR109" s="112">
        <f t="shared" si="140"/>
        <v>0</v>
      </c>
      <c r="BS109" s="112">
        <f t="shared" si="141"/>
        <v>0</v>
      </c>
      <c r="BT109" s="112">
        <f t="shared" si="142"/>
        <v>0</v>
      </c>
      <c r="BU109" s="112">
        <f t="shared" si="143"/>
        <v>0</v>
      </c>
      <c r="BV109" s="112">
        <f t="shared" si="144"/>
        <v>0</v>
      </c>
      <c r="CI109" s="4">
        <f t="shared" si="145"/>
        <v>45213</v>
      </c>
      <c r="CJ109" s="50">
        <f ca="1">IF($BH109=0,IF($CO109="",CJ108+R109,IF('283'!$K$251=1,VLOOKUP($CO109,PerStBal,2)+R109,IF('283'!$K$253=1,(VLOOKUP($CO109,PerPortion,2)*VLOOKUP($CO109,PerStBal,6))+R109,GL!BS109))),0)</f>
        <v>0</v>
      </c>
      <c r="CK109" s="425">
        <f ca="1">IF($BH109=0,IF($CO109="",CK108+T109,IF('283'!$K$251=1,IF(mname2&lt;&gt;"",VLOOKUP($CO109,PerStBal,3)+T109,0),IF('283'!$K$253=1,(VLOOKUP($CO109,PerPortion,3)*VLOOKUP($CO109,PerStBal,6))+T109,GL!BT109))),0)</f>
        <v>0</v>
      </c>
      <c r="CL109" s="425">
        <f ca="1">IF($BH109=0,IF($CO109="",CL108+V109,IF('283'!$K$251=1,IF(mname3&lt;&gt;"",VLOOKUP($CO109,PerStBal,4)+V109,0),IF('283'!$K$253=1,(VLOOKUP($CO109,PerPortion,4)*VLOOKUP($CO109,PerStBal,6))+V109,GL!BU109))),0)</f>
        <v>0</v>
      </c>
      <c r="CM109" s="425">
        <f ca="1">IF($BH109=0,IF($CO109="",CM108+X109,IF('283'!$K$251=1,IF(mname4&lt;&gt;"",VLOOKUP($CO109,PerStBal,5)+X109,0),IF('283'!$K$253=1,(VLOOKUP($CO109,PerPortion,5)*VLOOKUP($CO109,PerStBal,6))+X109,GL!BV109))),0)</f>
        <v>0</v>
      </c>
      <c r="CN109" s="50">
        <f t="shared" ca="1" si="146"/>
        <v>0</v>
      </c>
      <c r="CO109" s="4" t="str">
        <f t="shared" ca="1" si="147"/>
        <v/>
      </c>
      <c r="CP109" s="377">
        <f t="shared" si="108"/>
        <v>0</v>
      </c>
      <c r="DI109" s="4">
        <f t="shared" si="148"/>
        <v>45213</v>
      </c>
      <c r="DJ109" s="112">
        <f t="shared" ca="1" si="149"/>
        <v>0</v>
      </c>
      <c r="DK109" s="112">
        <f t="shared" si="150"/>
        <v>0</v>
      </c>
      <c r="DL109" s="4">
        <f t="shared" si="151"/>
        <v>45213</v>
      </c>
      <c r="DM109" s="112">
        <f t="shared" ca="1" si="152"/>
        <v>0</v>
      </c>
      <c r="DN109" s="112">
        <f t="shared" si="153"/>
        <v>0</v>
      </c>
      <c r="DO109" s="4">
        <f t="shared" si="154"/>
        <v>45213</v>
      </c>
      <c r="DP109" s="112">
        <f t="shared" ca="1" si="155"/>
        <v>0</v>
      </c>
      <c r="DQ109" s="112">
        <f t="shared" si="156"/>
        <v>0</v>
      </c>
      <c r="DR109" s="4">
        <f t="shared" si="157"/>
        <v>45213</v>
      </c>
      <c r="DS109" s="112">
        <f t="shared" ca="1" si="158"/>
        <v>0</v>
      </c>
      <c r="DT109" s="112">
        <f t="shared" si="159"/>
        <v>0</v>
      </c>
      <c r="DU109" s="4">
        <f t="shared" si="160"/>
        <v>45213</v>
      </c>
      <c r="DV109" s="112">
        <f t="shared" si="161"/>
        <v>0</v>
      </c>
      <c r="DW109" s="112">
        <f t="shared" si="162"/>
        <v>0</v>
      </c>
    </row>
    <row r="110" spans="1:127" x14ac:dyDescent="0.25">
      <c r="B110" s="74"/>
      <c r="C110" s="603" t="s">
        <v>122</v>
      </c>
      <c r="D110" s="603"/>
      <c r="E110" s="603"/>
      <c r="F110" s="603"/>
      <c r="H110" s="75"/>
      <c r="I110" s="604" t="s">
        <v>123</v>
      </c>
      <c r="J110" s="604"/>
      <c r="K110" s="604"/>
      <c r="L110" s="604"/>
      <c r="M110" s="604"/>
      <c r="Q110" s="4">
        <f t="shared" si="109"/>
        <v>45214</v>
      </c>
      <c r="R110" s="24">
        <f t="shared" si="110"/>
        <v>0</v>
      </c>
      <c r="S110" s="25">
        <f t="shared" si="111"/>
        <v>0</v>
      </c>
      <c r="T110" s="24">
        <f t="shared" si="112"/>
        <v>0</v>
      </c>
      <c r="U110" s="25">
        <f t="shared" si="113"/>
        <v>0</v>
      </c>
      <c r="V110" s="24">
        <f t="shared" si="114"/>
        <v>0</v>
      </c>
      <c r="W110" s="25">
        <f t="shared" si="115"/>
        <v>0</v>
      </c>
      <c r="X110" s="24">
        <f t="shared" si="116"/>
        <v>0</v>
      </c>
      <c r="Y110" s="26">
        <f t="shared" si="117"/>
        <v>0</v>
      </c>
      <c r="Z110" s="27">
        <f t="shared" si="118"/>
        <v>0</v>
      </c>
      <c r="AA110" s="28">
        <f t="shared" si="119"/>
        <v>45214</v>
      </c>
      <c r="AB110" s="24">
        <f t="shared" si="120"/>
        <v>0</v>
      </c>
      <c r="AC110" s="25">
        <f t="shared" si="121"/>
        <v>0</v>
      </c>
      <c r="AD110" s="28">
        <f t="shared" si="122"/>
        <v>45214</v>
      </c>
      <c r="AE110" s="24">
        <f t="shared" si="123"/>
        <v>0</v>
      </c>
      <c r="AF110" s="25">
        <f t="shared" si="124"/>
        <v>0</v>
      </c>
      <c r="AG110" s="28">
        <f t="shared" si="125"/>
        <v>45214</v>
      </c>
      <c r="AH110" s="24">
        <f t="shared" si="126"/>
        <v>0</v>
      </c>
      <c r="AI110" s="25">
        <f t="shared" si="127"/>
        <v>0</v>
      </c>
      <c r="AJ110" s="28">
        <f t="shared" si="128"/>
        <v>45214</v>
      </c>
      <c r="AK110" s="24">
        <f t="shared" si="129"/>
        <v>0</v>
      </c>
      <c r="AL110" s="25">
        <f t="shared" si="130"/>
        <v>0</v>
      </c>
      <c r="AM110" s="29">
        <f t="shared" si="131"/>
        <v>0</v>
      </c>
      <c r="AN110" s="28">
        <f t="shared" si="132"/>
        <v>45214</v>
      </c>
      <c r="AO110" s="373">
        <f t="shared" si="101"/>
        <v>0</v>
      </c>
      <c r="AP110" s="374">
        <f t="shared" si="102"/>
        <v>0</v>
      </c>
      <c r="AQ110" s="27">
        <f t="shared" si="103"/>
        <v>0</v>
      </c>
      <c r="AR110" s="25">
        <f t="shared" si="104"/>
        <v>0</v>
      </c>
      <c r="AS110" s="25">
        <f t="shared" si="105"/>
        <v>0</v>
      </c>
      <c r="AT110" s="25">
        <f t="shared" si="106"/>
        <v>0</v>
      </c>
      <c r="AU110" s="29">
        <f t="shared" si="163"/>
        <v>0</v>
      </c>
      <c r="AV110" s="27">
        <f t="shared" si="133"/>
        <v>0</v>
      </c>
      <c r="AW110" s="27">
        <f t="shared" si="134"/>
        <v>0</v>
      </c>
      <c r="AX110" s="27">
        <f t="shared" si="135"/>
        <v>0</v>
      </c>
      <c r="AY110" s="27">
        <f t="shared" si="136"/>
        <v>0</v>
      </c>
      <c r="BH110" s="2">
        <f t="shared" si="137"/>
        <v>0</v>
      </c>
      <c r="BI110" s="298" t="str">
        <f t="shared" si="138"/>
        <v/>
      </c>
      <c r="BJ110" s="298" t="str">
        <f t="shared" si="107"/>
        <v/>
      </c>
      <c r="BQ110" s="4">
        <f t="shared" si="139"/>
        <v>45214</v>
      </c>
      <c r="BR110" s="112">
        <f t="shared" si="140"/>
        <v>0</v>
      </c>
      <c r="BS110" s="112">
        <f t="shared" si="141"/>
        <v>0</v>
      </c>
      <c r="BT110" s="112">
        <f t="shared" si="142"/>
        <v>0</v>
      </c>
      <c r="BU110" s="112">
        <f t="shared" si="143"/>
        <v>0</v>
      </c>
      <c r="BV110" s="112">
        <f t="shared" si="144"/>
        <v>0</v>
      </c>
      <c r="CI110" s="4">
        <f t="shared" si="145"/>
        <v>45214</v>
      </c>
      <c r="CJ110" s="50">
        <f ca="1">IF($BH110=0,IF($CO110="",CJ109+R110,IF('283'!$K$251=1,VLOOKUP($CO110,PerStBal,2)+R110,IF('283'!$K$253=1,(VLOOKUP($CO110,PerPortion,2)*VLOOKUP($CO110,PerStBal,6))+R110,GL!BS110))),0)</f>
        <v>0</v>
      </c>
      <c r="CK110" s="425">
        <f ca="1">IF($BH110=0,IF($CO110="",CK109+T110,IF('283'!$K$251=1,IF(mname2&lt;&gt;"",VLOOKUP($CO110,PerStBal,3)+T110,0),IF('283'!$K$253=1,(VLOOKUP($CO110,PerPortion,3)*VLOOKUP($CO110,PerStBal,6))+T110,GL!BT110))),0)</f>
        <v>0</v>
      </c>
      <c r="CL110" s="425">
        <f ca="1">IF($BH110=0,IF($CO110="",CL109+V110,IF('283'!$K$251=1,IF(mname3&lt;&gt;"",VLOOKUP($CO110,PerStBal,4)+V110,0),IF('283'!$K$253=1,(VLOOKUP($CO110,PerPortion,4)*VLOOKUP($CO110,PerStBal,6))+V110,GL!BU110))),0)</f>
        <v>0</v>
      </c>
      <c r="CM110" s="425">
        <f ca="1">IF($BH110=0,IF($CO110="",CM109+X110,IF('283'!$K$251=1,IF(mname4&lt;&gt;"",VLOOKUP($CO110,PerStBal,5)+X110,0),IF('283'!$K$253=1,(VLOOKUP($CO110,PerPortion,5)*VLOOKUP($CO110,PerStBal,6))+X110,GL!BV110))),0)</f>
        <v>0</v>
      </c>
      <c r="CN110" s="50">
        <f t="shared" ca="1" si="146"/>
        <v>0</v>
      </c>
      <c r="CO110" s="4" t="str">
        <f t="shared" ca="1" si="147"/>
        <v/>
      </c>
      <c r="CP110" s="377">
        <f t="shared" si="108"/>
        <v>0</v>
      </c>
      <c r="DI110" s="4">
        <f t="shared" si="148"/>
        <v>45214</v>
      </c>
      <c r="DJ110" s="112">
        <f t="shared" ca="1" si="149"/>
        <v>0</v>
      </c>
      <c r="DK110" s="112">
        <f t="shared" si="150"/>
        <v>0</v>
      </c>
      <c r="DL110" s="4">
        <f t="shared" si="151"/>
        <v>45214</v>
      </c>
      <c r="DM110" s="112">
        <f t="shared" ca="1" si="152"/>
        <v>0</v>
      </c>
      <c r="DN110" s="112">
        <f t="shared" si="153"/>
        <v>0</v>
      </c>
      <c r="DO110" s="4">
        <f t="shared" si="154"/>
        <v>45214</v>
      </c>
      <c r="DP110" s="112">
        <f t="shared" ca="1" si="155"/>
        <v>0</v>
      </c>
      <c r="DQ110" s="112">
        <f t="shared" si="156"/>
        <v>0</v>
      </c>
      <c r="DR110" s="4">
        <f t="shared" si="157"/>
        <v>45214</v>
      </c>
      <c r="DS110" s="112">
        <f t="shared" ca="1" si="158"/>
        <v>0</v>
      </c>
      <c r="DT110" s="112">
        <f t="shared" si="159"/>
        <v>0</v>
      </c>
      <c r="DU110" s="4">
        <f t="shared" si="160"/>
        <v>45214</v>
      </c>
      <c r="DV110" s="112">
        <f t="shared" si="161"/>
        <v>0</v>
      </c>
      <c r="DW110" s="112">
        <f t="shared" si="162"/>
        <v>0</v>
      </c>
    </row>
    <row r="111" spans="1:127" x14ac:dyDescent="0.25">
      <c r="B111" s="74"/>
      <c r="C111" s="76">
        <f ca="1">SUM(C114:C209)</f>
        <v>0</v>
      </c>
      <c r="D111" s="76">
        <f ca="1">SUM(D114:D209)</f>
        <v>0</v>
      </c>
      <c r="E111" s="76">
        <f ca="1">SUM(E114:E209)</f>
        <v>0</v>
      </c>
      <c r="F111" s="76">
        <f ca="1">SUM(F114:F209)</f>
        <v>0</v>
      </c>
      <c r="H111" s="75"/>
      <c r="I111" s="77">
        <f ca="1">SUM(I114:I209)</f>
        <v>0</v>
      </c>
      <c r="J111" s="77">
        <f ca="1">SUM(J114:J209)</f>
        <v>0</v>
      </c>
      <c r="K111" s="77">
        <f ca="1">SUM(K114:K209)</f>
        <v>0</v>
      </c>
      <c r="L111" s="77">
        <f ca="1">SUM(L114:L209)</f>
        <v>0</v>
      </c>
      <c r="M111" s="77">
        <f ca="1">SUM(M114:M209)</f>
        <v>0</v>
      </c>
      <c r="P111" s="54"/>
      <c r="Q111" s="4">
        <f t="shared" si="109"/>
        <v>45215</v>
      </c>
      <c r="R111" s="24">
        <f t="shared" si="110"/>
        <v>0</v>
      </c>
      <c r="S111" s="25">
        <f t="shared" si="111"/>
        <v>0</v>
      </c>
      <c r="T111" s="24">
        <f t="shared" si="112"/>
        <v>0</v>
      </c>
      <c r="U111" s="25">
        <f t="shared" si="113"/>
        <v>0</v>
      </c>
      <c r="V111" s="24">
        <f t="shared" si="114"/>
        <v>0</v>
      </c>
      <c r="W111" s="25">
        <f t="shared" si="115"/>
        <v>0</v>
      </c>
      <c r="X111" s="24">
        <f t="shared" si="116"/>
        <v>0</v>
      </c>
      <c r="Y111" s="26">
        <f t="shared" si="117"/>
        <v>0</v>
      </c>
      <c r="Z111" s="27">
        <f t="shared" si="118"/>
        <v>0</v>
      </c>
      <c r="AA111" s="28">
        <f t="shared" si="119"/>
        <v>45215</v>
      </c>
      <c r="AB111" s="24">
        <f t="shared" si="120"/>
        <v>0</v>
      </c>
      <c r="AC111" s="25">
        <f t="shared" si="121"/>
        <v>0</v>
      </c>
      <c r="AD111" s="28">
        <f t="shared" si="122"/>
        <v>45215</v>
      </c>
      <c r="AE111" s="24">
        <f t="shared" si="123"/>
        <v>0</v>
      </c>
      <c r="AF111" s="25">
        <f t="shared" si="124"/>
        <v>0</v>
      </c>
      <c r="AG111" s="28">
        <f t="shared" si="125"/>
        <v>45215</v>
      </c>
      <c r="AH111" s="24">
        <f t="shared" si="126"/>
        <v>0</v>
      </c>
      <c r="AI111" s="25">
        <f t="shared" si="127"/>
        <v>0</v>
      </c>
      <c r="AJ111" s="28">
        <f t="shared" si="128"/>
        <v>45215</v>
      </c>
      <c r="AK111" s="24">
        <f t="shared" si="129"/>
        <v>0</v>
      </c>
      <c r="AL111" s="25">
        <f t="shared" si="130"/>
        <v>0</v>
      </c>
      <c r="AM111" s="29">
        <f t="shared" si="131"/>
        <v>0</v>
      </c>
      <c r="AN111" s="28">
        <f t="shared" si="132"/>
        <v>45215</v>
      </c>
      <c r="AO111" s="373">
        <f t="shared" si="101"/>
        <v>0</v>
      </c>
      <c r="AP111" s="374">
        <f t="shared" si="102"/>
        <v>0</v>
      </c>
      <c r="AQ111" s="27">
        <f t="shared" si="103"/>
        <v>0</v>
      </c>
      <c r="AR111" s="25">
        <f t="shared" si="104"/>
        <v>0</v>
      </c>
      <c r="AS111" s="25">
        <f t="shared" si="105"/>
        <v>0</v>
      </c>
      <c r="AT111" s="25">
        <f t="shared" si="106"/>
        <v>0</v>
      </c>
      <c r="AU111" s="29">
        <f t="shared" si="163"/>
        <v>0</v>
      </c>
      <c r="AV111" s="27">
        <f t="shared" si="133"/>
        <v>0</v>
      </c>
      <c r="AW111" s="27">
        <f t="shared" si="134"/>
        <v>0</v>
      </c>
      <c r="AX111" s="27">
        <f t="shared" si="135"/>
        <v>0</v>
      </c>
      <c r="AY111" s="27">
        <f t="shared" si="136"/>
        <v>0</v>
      </c>
      <c r="BH111" s="2">
        <f t="shared" si="137"/>
        <v>0</v>
      </c>
      <c r="BI111" s="298" t="str">
        <f t="shared" si="138"/>
        <v/>
      </c>
      <c r="BJ111" s="298" t="str">
        <f t="shared" si="107"/>
        <v/>
      </c>
      <c r="BQ111" s="4">
        <f t="shared" si="139"/>
        <v>45215</v>
      </c>
      <c r="BR111" s="112">
        <f t="shared" si="140"/>
        <v>0</v>
      </c>
      <c r="BS111" s="112">
        <f t="shared" si="141"/>
        <v>0</v>
      </c>
      <c r="BT111" s="112">
        <f t="shared" si="142"/>
        <v>0</v>
      </c>
      <c r="BU111" s="112">
        <f t="shared" si="143"/>
        <v>0</v>
      </c>
      <c r="BV111" s="112">
        <f t="shared" si="144"/>
        <v>0</v>
      </c>
      <c r="CI111" s="4">
        <f t="shared" si="145"/>
        <v>45215</v>
      </c>
      <c r="CJ111" s="50">
        <f ca="1">IF($BH111=0,IF($CO111="",CJ110+R111,IF('283'!$K$251=1,VLOOKUP($CO111,PerStBal,2)+R111,IF('283'!$K$253=1,(VLOOKUP($CO111,PerPortion,2)*VLOOKUP($CO111,PerStBal,6))+R111,GL!BS111))),0)</f>
        <v>0</v>
      </c>
      <c r="CK111" s="425">
        <f ca="1">IF($BH111=0,IF($CO111="",CK110+T111,IF('283'!$K$251=1,IF(mname2&lt;&gt;"",VLOOKUP($CO111,PerStBal,3)+T111,0),IF('283'!$K$253=1,(VLOOKUP($CO111,PerPortion,3)*VLOOKUP($CO111,PerStBal,6))+T111,GL!BT111))),0)</f>
        <v>0</v>
      </c>
      <c r="CL111" s="425">
        <f ca="1">IF($BH111=0,IF($CO111="",CL110+V111,IF('283'!$K$251=1,IF(mname3&lt;&gt;"",VLOOKUP($CO111,PerStBal,4)+V111,0),IF('283'!$K$253=1,(VLOOKUP($CO111,PerPortion,4)*VLOOKUP($CO111,PerStBal,6))+V111,GL!BU111))),0)</f>
        <v>0</v>
      </c>
      <c r="CM111" s="425">
        <f ca="1">IF($BH111=0,IF($CO111="",CM110+X111,IF('283'!$K$251=1,IF(mname4&lt;&gt;"",VLOOKUP($CO111,PerStBal,5)+X111,0),IF('283'!$K$253=1,(VLOOKUP($CO111,PerPortion,5)*VLOOKUP($CO111,PerStBal,6))+X111,GL!BV111))),0)</f>
        <v>0</v>
      </c>
      <c r="CN111" s="50">
        <f t="shared" ca="1" si="146"/>
        <v>0</v>
      </c>
      <c r="CO111" s="4" t="str">
        <f t="shared" ca="1" si="147"/>
        <v/>
      </c>
      <c r="CP111" s="377">
        <f t="shared" si="108"/>
        <v>0</v>
      </c>
      <c r="DI111" s="4">
        <f t="shared" si="148"/>
        <v>45215</v>
      </c>
      <c r="DJ111" s="112">
        <f t="shared" ca="1" si="149"/>
        <v>0</v>
      </c>
      <c r="DK111" s="112">
        <f t="shared" si="150"/>
        <v>0</v>
      </c>
      <c r="DL111" s="4">
        <f t="shared" si="151"/>
        <v>45215</v>
      </c>
      <c r="DM111" s="112">
        <f t="shared" ca="1" si="152"/>
        <v>0</v>
      </c>
      <c r="DN111" s="112">
        <f t="shared" si="153"/>
        <v>0</v>
      </c>
      <c r="DO111" s="4">
        <f t="shared" si="154"/>
        <v>45215</v>
      </c>
      <c r="DP111" s="112">
        <f t="shared" ca="1" si="155"/>
        <v>0</v>
      </c>
      <c r="DQ111" s="112">
        <f t="shared" si="156"/>
        <v>0</v>
      </c>
      <c r="DR111" s="4">
        <f t="shared" si="157"/>
        <v>45215</v>
      </c>
      <c r="DS111" s="112">
        <f t="shared" ca="1" si="158"/>
        <v>0</v>
      </c>
      <c r="DT111" s="112">
        <f t="shared" si="159"/>
        <v>0</v>
      </c>
      <c r="DU111" s="4">
        <f t="shared" si="160"/>
        <v>45215</v>
      </c>
      <c r="DV111" s="112">
        <f t="shared" si="161"/>
        <v>0</v>
      </c>
      <c r="DW111" s="112">
        <f t="shared" si="162"/>
        <v>0</v>
      </c>
    </row>
    <row r="112" spans="1:127" x14ac:dyDescent="0.25">
      <c r="B112" s="78"/>
      <c r="C112" s="79"/>
      <c r="D112" s="80"/>
      <c r="E112" s="80"/>
      <c r="F112" s="80"/>
      <c r="H112" s="81"/>
      <c r="I112" s="82"/>
      <c r="M112" s="5"/>
      <c r="P112" s="54"/>
      <c r="Q112" s="4">
        <f t="shared" si="109"/>
        <v>45216</v>
      </c>
      <c r="R112" s="24">
        <f t="shared" si="110"/>
        <v>0</v>
      </c>
      <c r="S112" s="25">
        <f t="shared" si="111"/>
        <v>0</v>
      </c>
      <c r="T112" s="24">
        <f t="shared" si="112"/>
        <v>0</v>
      </c>
      <c r="U112" s="25">
        <f t="shared" si="113"/>
        <v>0</v>
      </c>
      <c r="V112" s="24">
        <f t="shared" si="114"/>
        <v>0</v>
      </c>
      <c r="W112" s="25">
        <f t="shared" si="115"/>
        <v>0</v>
      </c>
      <c r="X112" s="24">
        <f t="shared" si="116"/>
        <v>0</v>
      </c>
      <c r="Y112" s="26">
        <f t="shared" si="117"/>
        <v>0</v>
      </c>
      <c r="Z112" s="27">
        <f t="shared" si="118"/>
        <v>0</v>
      </c>
      <c r="AA112" s="28">
        <f t="shared" si="119"/>
        <v>45216</v>
      </c>
      <c r="AB112" s="24">
        <f t="shared" si="120"/>
        <v>0</v>
      </c>
      <c r="AC112" s="25">
        <f t="shared" si="121"/>
        <v>0</v>
      </c>
      <c r="AD112" s="28">
        <f t="shared" si="122"/>
        <v>45216</v>
      </c>
      <c r="AE112" s="24">
        <f t="shared" si="123"/>
        <v>0</v>
      </c>
      <c r="AF112" s="25">
        <f t="shared" si="124"/>
        <v>0</v>
      </c>
      <c r="AG112" s="28">
        <f t="shared" si="125"/>
        <v>45216</v>
      </c>
      <c r="AH112" s="24">
        <f t="shared" si="126"/>
        <v>0</v>
      </c>
      <c r="AI112" s="25">
        <f t="shared" si="127"/>
        <v>0</v>
      </c>
      <c r="AJ112" s="28">
        <f t="shared" si="128"/>
        <v>45216</v>
      </c>
      <c r="AK112" s="24">
        <f t="shared" si="129"/>
        <v>0</v>
      </c>
      <c r="AL112" s="25">
        <f t="shared" si="130"/>
        <v>0</v>
      </c>
      <c r="AM112" s="29">
        <f t="shared" si="131"/>
        <v>0</v>
      </c>
      <c r="AN112" s="28">
        <f t="shared" si="132"/>
        <v>45216</v>
      </c>
      <c r="AO112" s="373">
        <f t="shared" si="101"/>
        <v>0</v>
      </c>
      <c r="AP112" s="374">
        <f t="shared" si="102"/>
        <v>0</v>
      </c>
      <c r="AQ112" s="27">
        <f t="shared" si="103"/>
        <v>0</v>
      </c>
      <c r="AR112" s="25">
        <f t="shared" si="104"/>
        <v>0</v>
      </c>
      <c r="AS112" s="25">
        <f t="shared" si="105"/>
        <v>0</v>
      </c>
      <c r="AT112" s="25">
        <f t="shared" si="106"/>
        <v>0</v>
      </c>
      <c r="AU112" s="29">
        <f t="shared" si="163"/>
        <v>0</v>
      </c>
      <c r="AV112" s="27">
        <f t="shared" si="133"/>
        <v>0</v>
      </c>
      <c r="AW112" s="27">
        <f t="shared" si="134"/>
        <v>0</v>
      </c>
      <c r="AX112" s="27">
        <f t="shared" si="135"/>
        <v>0</v>
      </c>
      <c r="AY112" s="27">
        <f t="shared" si="136"/>
        <v>0</v>
      </c>
      <c r="BH112" s="2">
        <f t="shared" si="137"/>
        <v>0</v>
      </c>
      <c r="BI112" s="298" t="str">
        <f t="shared" si="138"/>
        <v/>
      </c>
      <c r="BJ112" s="298" t="str">
        <f t="shared" si="107"/>
        <v/>
      </c>
      <c r="BQ112" s="4">
        <f t="shared" si="139"/>
        <v>45216</v>
      </c>
      <c r="BR112" s="112">
        <f t="shared" si="140"/>
        <v>0</v>
      </c>
      <c r="BS112" s="112">
        <f t="shared" si="141"/>
        <v>0</v>
      </c>
      <c r="BT112" s="112">
        <f t="shared" si="142"/>
        <v>0</v>
      </c>
      <c r="BU112" s="112">
        <f t="shared" si="143"/>
        <v>0</v>
      </c>
      <c r="BV112" s="112">
        <f t="shared" si="144"/>
        <v>0</v>
      </c>
      <c r="CI112" s="4">
        <f t="shared" si="145"/>
        <v>45216</v>
      </c>
      <c r="CJ112" s="50">
        <f ca="1">IF($BH112=0,IF($CO112="",CJ111+R112,IF('283'!$K$251=1,VLOOKUP($CO112,PerStBal,2)+R112,IF('283'!$K$253=1,(VLOOKUP($CO112,PerPortion,2)*VLOOKUP($CO112,PerStBal,6))+R112,GL!BS112))),0)</f>
        <v>0</v>
      </c>
      <c r="CK112" s="425">
        <f ca="1">IF($BH112=0,IF($CO112="",CK111+T112,IF('283'!$K$251=1,IF(mname2&lt;&gt;"",VLOOKUP($CO112,PerStBal,3)+T112,0),IF('283'!$K$253=1,(VLOOKUP($CO112,PerPortion,3)*VLOOKUP($CO112,PerStBal,6))+T112,GL!BT112))),0)</f>
        <v>0</v>
      </c>
      <c r="CL112" s="425">
        <f ca="1">IF($BH112=0,IF($CO112="",CL111+V112,IF('283'!$K$251=1,IF(mname3&lt;&gt;"",VLOOKUP($CO112,PerStBal,4)+V112,0),IF('283'!$K$253=1,(VLOOKUP($CO112,PerPortion,4)*VLOOKUP($CO112,PerStBal,6))+V112,GL!BU112))),0)</f>
        <v>0</v>
      </c>
      <c r="CM112" s="425">
        <f ca="1">IF($BH112=0,IF($CO112="",CM111+X112,IF('283'!$K$251=1,IF(mname4&lt;&gt;"",VLOOKUP($CO112,PerStBal,5)+X112,0),IF('283'!$K$253=1,(VLOOKUP($CO112,PerPortion,5)*VLOOKUP($CO112,PerStBal,6))+X112,GL!BV112))),0)</f>
        <v>0</v>
      </c>
      <c r="CN112" s="50">
        <f t="shared" ca="1" si="146"/>
        <v>0</v>
      </c>
      <c r="CO112" s="4" t="str">
        <f t="shared" ca="1" si="147"/>
        <v/>
      </c>
      <c r="CP112" s="377">
        <f t="shared" si="108"/>
        <v>0</v>
      </c>
      <c r="DI112" s="4">
        <f t="shared" si="148"/>
        <v>45216</v>
      </c>
      <c r="DJ112" s="112">
        <f t="shared" ca="1" si="149"/>
        <v>0</v>
      </c>
      <c r="DK112" s="112">
        <f t="shared" si="150"/>
        <v>0</v>
      </c>
      <c r="DL112" s="4">
        <f t="shared" si="151"/>
        <v>45216</v>
      </c>
      <c r="DM112" s="112">
        <f t="shared" ca="1" si="152"/>
        <v>0</v>
      </c>
      <c r="DN112" s="112">
        <f t="shared" si="153"/>
        <v>0</v>
      </c>
      <c r="DO112" s="4">
        <f t="shared" si="154"/>
        <v>45216</v>
      </c>
      <c r="DP112" s="112">
        <f t="shared" ca="1" si="155"/>
        <v>0</v>
      </c>
      <c r="DQ112" s="112">
        <f t="shared" si="156"/>
        <v>0</v>
      </c>
      <c r="DR112" s="4">
        <f t="shared" si="157"/>
        <v>45216</v>
      </c>
      <c r="DS112" s="112">
        <f t="shared" ca="1" si="158"/>
        <v>0</v>
      </c>
      <c r="DT112" s="112">
        <f t="shared" si="159"/>
        <v>0</v>
      </c>
      <c r="DU112" s="4">
        <f t="shared" si="160"/>
        <v>45216</v>
      </c>
      <c r="DV112" s="112">
        <f t="shared" si="161"/>
        <v>0</v>
      </c>
      <c r="DW112" s="112">
        <f t="shared" si="162"/>
        <v>0</v>
      </c>
    </row>
    <row r="113" spans="2:127" x14ac:dyDescent="0.25">
      <c r="B113" s="78" t="s">
        <v>124</v>
      </c>
      <c r="C113" s="598" t="s">
        <v>125</v>
      </c>
      <c r="D113" s="598"/>
      <c r="E113" s="83"/>
      <c r="F113" s="83"/>
      <c r="H113" s="81" t="s">
        <v>124</v>
      </c>
      <c r="I113" s="75" t="s">
        <v>125</v>
      </c>
      <c r="L113" s="72"/>
      <c r="P113" s="54"/>
      <c r="Q113" s="4">
        <f t="shared" si="109"/>
        <v>45217</v>
      </c>
      <c r="R113" s="24">
        <f t="shared" si="110"/>
        <v>0</v>
      </c>
      <c r="S113" s="25">
        <f t="shared" si="111"/>
        <v>0</v>
      </c>
      <c r="T113" s="24">
        <f t="shared" si="112"/>
        <v>0</v>
      </c>
      <c r="U113" s="25">
        <f t="shared" si="113"/>
        <v>0</v>
      </c>
      <c r="V113" s="24">
        <f t="shared" si="114"/>
        <v>0</v>
      </c>
      <c r="W113" s="25">
        <f t="shared" si="115"/>
        <v>0</v>
      </c>
      <c r="X113" s="24">
        <f t="shared" si="116"/>
        <v>0</v>
      </c>
      <c r="Y113" s="26">
        <f t="shared" si="117"/>
        <v>0</v>
      </c>
      <c r="Z113" s="27">
        <f t="shared" si="118"/>
        <v>0</v>
      </c>
      <c r="AA113" s="28">
        <f t="shared" si="119"/>
        <v>45217</v>
      </c>
      <c r="AB113" s="24">
        <f t="shared" si="120"/>
        <v>0</v>
      </c>
      <c r="AC113" s="25">
        <f t="shared" si="121"/>
        <v>0</v>
      </c>
      <c r="AD113" s="28">
        <f t="shared" si="122"/>
        <v>45217</v>
      </c>
      <c r="AE113" s="24">
        <f t="shared" si="123"/>
        <v>0</v>
      </c>
      <c r="AF113" s="25">
        <f t="shared" si="124"/>
        <v>0</v>
      </c>
      <c r="AG113" s="28">
        <f t="shared" si="125"/>
        <v>45217</v>
      </c>
      <c r="AH113" s="24">
        <f t="shared" si="126"/>
        <v>0</v>
      </c>
      <c r="AI113" s="25">
        <f t="shared" si="127"/>
        <v>0</v>
      </c>
      <c r="AJ113" s="28">
        <f t="shared" si="128"/>
        <v>45217</v>
      </c>
      <c r="AK113" s="24">
        <f t="shared" si="129"/>
        <v>0</v>
      </c>
      <c r="AL113" s="25">
        <f t="shared" si="130"/>
        <v>0</v>
      </c>
      <c r="AM113" s="29">
        <f t="shared" si="131"/>
        <v>0</v>
      </c>
      <c r="AN113" s="28">
        <f t="shared" si="132"/>
        <v>45217</v>
      </c>
      <c r="AO113" s="373">
        <f t="shared" si="101"/>
        <v>0</v>
      </c>
      <c r="AP113" s="374">
        <f t="shared" si="102"/>
        <v>0</v>
      </c>
      <c r="AQ113" s="27">
        <f t="shared" si="103"/>
        <v>0</v>
      </c>
      <c r="AR113" s="25">
        <f t="shared" si="104"/>
        <v>0</v>
      </c>
      <c r="AS113" s="25">
        <f t="shared" si="105"/>
        <v>0</v>
      </c>
      <c r="AT113" s="25">
        <f t="shared" si="106"/>
        <v>0</v>
      </c>
      <c r="AU113" s="29">
        <f t="shared" si="163"/>
        <v>0</v>
      </c>
      <c r="AV113" s="27">
        <f t="shared" si="133"/>
        <v>0</v>
      </c>
      <c r="AW113" s="27">
        <f t="shared" si="134"/>
        <v>0</v>
      </c>
      <c r="AX113" s="27">
        <f t="shared" si="135"/>
        <v>0</v>
      </c>
      <c r="AY113" s="27">
        <f t="shared" si="136"/>
        <v>0</v>
      </c>
      <c r="BH113" s="2">
        <f t="shared" si="137"/>
        <v>0</v>
      </c>
      <c r="BI113" s="298" t="str">
        <f t="shared" si="138"/>
        <v/>
      </c>
      <c r="BJ113" s="298" t="str">
        <f t="shared" si="107"/>
        <v/>
      </c>
      <c r="BQ113" s="4">
        <f t="shared" si="139"/>
        <v>45217</v>
      </c>
      <c r="BR113" s="112">
        <f t="shared" si="140"/>
        <v>0</v>
      </c>
      <c r="BS113" s="112">
        <f t="shared" si="141"/>
        <v>0</v>
      </c>
      <c r="BT113" s="112">
        <f t="shared" si="142"/>
        <v>0</v>
      </c>
      <c r="BU113" s="112">
        <f t="shared" si="143"/>
        <v>0</v>
      </c>
      <c r="BV113" s="112">
        <f t="shared" si="144"/>
        <v>0</v>
      </c>
      <c r="CI113" s="4">
        <f t="shared" si="145"/>
        <v>45217</v>
      </c>
      <c r="CJ113" s="50">
        <f ca="1">IF($BH113=0,IF($CO113="",CJ112+R113,IF('283'!$K$251=1,VLOOKUP($CO113,PerStBal,2)+R113,IF('283'!$K$253=1,(VLOOKUP($CO113,PerPortion,2)*VLOOKUP($CO113,PerStBal,6))+R113,GL!BS113))),0)</f>
        <v>0</v>
      </c>
      <c r="CK113" s="425">
        <f ca="1">IF($BH113=0,IF($CO113="",CK112+T113,IF('283'!$K$251=1,IF(mname2&lt;&gt;"",VLOOKUP($CO113,PerStBal,3)+T113,0),IF('283'!$K$253=1,(VLOOKUP($CO113,PerPortion,3)*VLOOKUP($CO113,PerStBal,6))+T113,GL!BT113))),0)</f>
        <v>0</v>
      </c>
      <c r="CL113" s="425">
        <f ca="1">IF($BH113=0,IF($CO113="",CL112+V113,IF('283'!$K$251=1,IF(mname3&lt;&gt;"",VLOOKUP($CO113,PerStBal,4)+V113,0),IF('283'!$K$253=1,(VLOOKUP($CO113,PerPortion,4)*VLOOKUP($CO113,PerStBal,6))+V113,GL!BU113))),0)</f>
        <v>0</v>
      </c>
      <c r="CM113" s="425">
        <f ca="1">IF($BH113=0,IF($CO113="",CM112+X113,IF('283'!$K$251=1,IF(mname4&lt;&gt;"",VLOOKUP($CO113,PerStBal,5)+X113,0),IF('283'!$K$253=1,(VLOOKUP($CO113,PerPortion,5)*VLOOKUP($CO113,PerStBal,6))+X113,GL!BV113))),0)</f>
        <v>0</v>
      </c>
      <c r="CN113" s="50">
        <f t="shared" ca="1" si="146"/>
        <v>0</v>
      </c>
      <c r="CO113" s="4" t="str">
        <f t="shared" ca="1" si="147"/>
        <v/>
      </c>
      <c r="CP113" s="377">
        <f t="shared" si="108"/>
        <v>0</v>
      </c>
      <c r="DI113" s="4">
        <f t="shared" si="148"/>
        <v>45217</v>
      </c>
      <c r="DJ113" s="112">
        <f t="shared" ca="1" si="149"/>
        <v>0</v>
      </c>
      <c r="DK113" s="112">
        <f t="shared" si="150"/>
        <v>0</v>
      </c>
      <c r="DL113" s="4">
        <f t="shared" si="151"/>
        <v>45217</v>
      </c>
      <c r="DM113" s="112">
        <f t="shared" ca="1" si="152"/>
        <v>0</v>
      </c>
      <c r="DN113" s="112">
        <f t="shared" si="153"/>
        <v>0</v>
      </c>
      <c r="DO113" s="4">
        <f t="shared" si="154"/>
        <v>45217</v>
      </c>
      <c r="DP113" s="112">
        <f t="shared" ca="1" si="155"/>
        <v>0</v>
      </c>
      <c r="DQ113" s="112">
        <f t="shared" si="156"/>
        <v>0</v>
      </c>
      <c r="DR113" s="4">
        <f t="shared" si="157"/>
        <v>45217</v>
      </c>
      <c r="DS113" s="112">
        <f t="shared" ca="1" si="158"/>
        <v>0</v>
      </c>
      <c r="DT113" s="112">
        <f t="shared" si="159"/>
        <v>0</v>
      </c>
      <c r="DU113" s="4">
        <f t="shared" si="160"/>
        <v>45217</v>
      </c>
      <c r="DV113" s="112">
        <f t="shared" si="161"/>
        <v>0</v>
      </c>
      <c r="DW113" s="112">
        <f t="shared" si="162"/>
        <v>0</v>
      </c>
    </row>
    <row r="114" spans="2:127" x14ac:dyDescent="0.25">
      <c r="B114" s="74">
        <f>IF($C$5&lt;&gt;"",YearEnd-$C$5,DaysInYear/2)</f>
        <v>183</v>
      </c>
      <c r="C114" s="84">
        <f t="shared" ref="C114:F133" si="167">IF(AND($C5&lt;&gt;"",D5&lt;&gt;""),(YearEnd-$C5)/DaysInYear*-D5,0)</f>
        <v>0</v>
      </c>
      <c r="D114" s="84">
        <f t="shared" si="167"/>
        <v>0</v>
      </c>
      <c r="E114" s="84">
        <f t="shared" si="167"/>
        <v>0</v>
      </c>
      <c r="F114" s="84">
        <f t="shared" si="167"/>
        <v>0</v>
      </c>
      <c r="H114" s="75">
        <f t="shared" ref="H114:H145" si="168">IF(J5&lt;&gt;"",YearEnd-J5,DaysInYear/2)</f>
        <v>183</v>
      </c>
      <c r="I114" s="77">
        <f t="shared" ref="I114:I145" si="169">IF(AND($J5&lt;&gt;"",K5&lt;&gt;""),(YearEnd-$J5)/DaysInYear*+K5,0)</f>
        <v>0</v>
      </c>
      <c r="J114" s="77">
        <f t="shared" ref="J114:J145" si="170">IF(AND($J5&lt;&gt;"",L5&lt;&gt;""),(YearEnd-$J5)/DaysInYear*+L5,0)</f>
        <v>0</v>
      </c>
      <c r="K114" s="77">
        <f t="shared" ref="K114:K145" si="171">IF(AND($J5&lt;&gt;"",M5&lt;&gt;""),(YearEnd-$J5)/DaysInYear*+M5,0)</f>
        <v>0</v>
      </c>
      <c r="L114" s="77">
        <f t="shared" ref="L114:L145" si="172">IF(AND($J5&lt;&gt;"",N5&lt;&gt;""),(YearEnd-$J5)/DaysInYear*+N5,0)</f>
        <v>0</v>
      </c>
      <c r="M114" s="77">
        <f t="shared" ref="M114:M145" si="173">IF(AND($J5&lt;&gt;"",O5&lt;&gt;""),(YearEnd-$J5)/DaysInYear*+O5,0)</f>
        <v>0</v>
      </c>
      <c r="P114" s="54"/>
      <c r="Q114" s="4">
        <f t="shared" si="109"/>
        <v>45218</v>
      </c>
      <c r="R114" s="24">
        <f t="shared" si="110"/>
        <v>0</v>
      </c>
      <c r="S114" s="25">
        <f t="shared" si="111"/>
        <v>0</v>
      </c>
      <c r="T114" s="24">
        <f t="shared" si="112"/>
        <v>0</v>
      </c>
      <c r="U114" s="25">
        <f t="shared" si="113"/>
        <v>0</v>
      </c>
      <c r="V114" s="24">
        <f t="shared" si="114"/>
        <v>0</v>
      </c>
      <c r="W114" s="25">
        <f t="shared" si="115"/>
        <v>0</v>
      </c>
      <c r="X114" s="24">
        <f t="shared" si="116"/>
        <v>0</v>
      </c>
      <c r="Y114" s="26">
        <f t="shared" si="117"/>
        <v>0</v>
      </c>
      <c r="Z114" s="27">
        <f t="shared" si="118"/>
        <v>0</v>
      </c>
      <c r="AA114" s="28">
        <f t="shared" si="119"/>
        <v>45218</v>
      </c>
      <c r="AB114" s="24">
        <f t="shared" si="120"/>
        <v>0</v>
      </c>
      <c r="AC114" s="25">
        <f t="shared" si="121"/>
        <v>0</v>
      </c>
      <c r="AD114" s="28">
        <f t="shared" si="122"/>
        <v>45218</v>
      </c>
      <c r="AE114" s="24">
        <f t="shared" si="123"/>
        <v>0</v>
      </c>
      <c r="AF114" s="25">
        <f t="shared" si="124"/>
        <v>0</v>
      </c>
      <c r="AG114" s="28">
        <f t="shared" si="125"/>
        <v>45218</v>
      </c>
      <c r="AH114" s="24">
        <f t="shared" si="126"/>
        <v>0</v>
      </c>
      <c r="AI114" s="25">
        <f t="shared" si="127"/>
        <v>0</v>
      </c>
      <c r="AJ114" s="28">
        <f t="shared" si="128"/>
        <v>45218</v>
      </c>
      <c r="AK114" s="24">
        <f t="shared" si="129"/>
        <v>0</v>
      </c>
      <c r="AL114" s="25">
        <f t="shared" si="130"/>
        <v>0</v>
      </c>
      <c r="AM114" s="29">
        <f t="shared" si="131"/>
        <v>0</v>
      </c>
      <c r="AN114" s="28">
        <f t="shared" si="132"/>
        <v>45218</v>
      </c>
      <c r="AO114" s="373">
        <f t="shared" si="101"/>
        <v>0</v>
      </c>
      <c r="AP114" s="374">
        <f t="shared" si="102"/>
        <v>0</v>
      </c>
      <c r="AQ114" s="27">
        <f t="shared" si="103"/>
        <v>0</v>
      </c>
      <c r="AR114" s="25">
        <f t="shared" si="104"/>
        <v>0</v>
      </c>
      <c r="AS114" s="25">
        <f t="shared" si="105"/>
        <v>0</v>
      </c>
      <c r="AT114" s="25">
        <f t="shared" si="106"/>
        <v>0</v>
      </c>
      <c r="AU114" s="29">
        <f t="shared" si="163"/>
        <v>0</v>
      </c>
      <c r="AV114" s="27">
        <f t="shared" si="133"/>
        <v>0</v>
      </c>
      <c r="AW114" s="27">
        <f t="shared" si="134"/>
        <v>0</v>
      </c>
      <c r="AX114" s="27">
        <f t="shared" si="135"/>
        <v>0</v>
      </c>
      <c r="AY114" s="27">
        <f t="shared" si="136"/>
        <v>0</v>
      </c>
      <c r="BH114" s="2">
        <f t="shared" si="137"/>
        <v>0</v>
      </c>
      <c r="BI114" s="298" t="str">
        <f t="shared" si="138"/>
        <v/>
      </c>
      <c r="BJ114" s="298" t="str">
        <f t="shared" si="107"/>
        <v/>
      </c>
      <c r="BQ114" s="4">
        <f t="shared" si="139"/>
        <v>45218</v>
      </c>
      <c r="BR114" s="112">
        <f t="shared" si="140"/>
        <v>0</v>
      </c>
      <c r="BS114" s="112">
        <f t="shared" si="141"/>
        <v>0</v>
      </c>
      <c r="BT114" s="112">
        <f t="shared" si="142"/>
        <v>0</v>
      </c>
      <c r="BU114" s="112">
        <f t="shared" si="143"/>
        <v>0</v>
      </c>
      <c r="BV114" s="112">
        <f t="shared" si="144"/>
        <v>0</v>
      </c>
      <c r="CI114" s="4">
        <f t="shared" si="145"/>
        <v>45218</v>
      </c>
      <c r="CJ114" s="50">
        <f ca="1">IF($BH114=0,IF($CO114="",CJ113+R114,IF('283'!$K$251=1,VLOOKUP($CO114,PerStBal,2)+R114,IF('283'!$K$253=1,(VLOOKUP($CO114,PerPortion,2)*VLOOKUP($CO114,PerStBal,6))+R114,GL!BS114))),0)</f>
        <v>0</v>
      </c>
      <c r="CK114" s="425">
        <f ca="1">IF($BH114=0,IF($CO114="",CK113+T114,IF('283'!$K$251=1,IF(mname2&lt;&gt;"",VLOOKUP($CO114,PerStBal,3)+T114,0),IF('283'!$K$253=1,(VLOOKUP($CO114,PerPortion,3)*VLOOKUP($CO114,PerStBal,6))+T114,GL!BT114))),0)</f>
        <v>0</v>
      </c>
      <c r="CL114" s="425">
        <f ca="1">IF($BH114=0,IF($CO114="",CL113+V114,IF('283'!$K$251=1,IF(mname3&lt;&gt;"",VLOOKUP($CO114,PerStBal,4)+V114,0),IF('283'!$K$253=1,(VLOOKUP($CO114,PerPortion,4)*VLOOKUP($CO114,PerStBal,6))+V114,GL!BU114))),0)</f>
        <v>0</v>
      </c>
      <c r="CM114" s="425">
        <f ca="1">IF($BH114=0,IF($CO114="",CM113+X114,IF('283'!$K$251=1,IF(mname4&lt;&gt;"",VLOOKUP($CO114,PerStBal,5)+X114,0),IF('283'!$K$253=1,(VLOOKUP($CO114,PerPortion,5)*VLOOKUP($CO114,PerStBal,6))+X114,GL!BV114))),0)</f>
        <v>0</v>
      </c>
      <c r="CN114" s="50">
        <f t="shared" ca="1" si="146"/>
        <v>0</v>
      </c>
      <c r="CO114" s="4" t="str">
        <f t="shared" ca="1" si="147"/>
        <v/>
      </c>
      <c r="CP114" s="377">
        <f t="shared" si="108"/>
        <v>0</v>
      </c>
      <c r="DI114" s="4">
        <f t="shared" si="148"/>
        <v>45218</v>
      </c>
      <c r="DJ114" s="112">
        <f t="shared" ca="1" si="149"/>
        <v>0</v>
      </c>
      <c r="DK114" s="112">
        <f t="shared" si="150"/>
        <v>0</v>
      </c>
      <c r="DL114" s="4">
        <f t="shared" si="151"/>
        <v>45218</v>
      </c>
      <c r="DM114" s="112">
        <f t="shared" ca="1" si="152"/>
        <v>0</v>
      </c>
      <c r="DN114" s="112">
        <f t="shared" si="153"/>
        <v>0</v>
      </c>
      <c r="DO114" s="4">
        <f t="shared" si="154"/>
        <v>45218</v>
      </c>
      <c r="DP114" s="112">
        <f t="shared" ca="1" si="155"/>
        <v>0</v>
      </c>
      <c r="DQ114" s="112">
        <f t="shared" si="156"/>
        <v>0</v>
      </c>
      <c r="DR114" s="4">
        <f t="shared" si="157"/>
        <v>45218</v>
      </c>
      <c r="DS114" s="112">
        <f t="shared" ca="1" si="158"/>
        <v>0</v>
      </c>
      <c r="DT114" s="112">
        <f t="shared" si="159"/>
        <v>0</v>
      </c>
      <c r="DU114" s="4">
        <f t="shared" si="160"/>
        <v>45218</v>
      </c>
      <c r="DV114" s="112">
        <f t="shared" si="161"/>
        <v>0</v>
      </c>
      <c r="DW114" s="112">
        <f t="shared" si="162"/>
        <v>0</v>
      </c>
    </row>
    <row r="115" spans="2:127" x14ac:dyDescent="0.25">
      <c r="B115" s="74">
        <f>IF($C$6&lt;&gt;"",YearEnd-$C$6,DaysInYear/2)</f>
        <v>183</v>
      </c>
      <c r="C115" s="84">
        <f t="shared" si="167"/>
        <v>0</v>
      </c>
      <c r="D115" s="84">
        <f t="shared" si="167"/>
        <v>0</v>
      </c>
      <c r="E115" s="84">
        <f t="shared" si="167"/>
        <v>0</v>
      </c>
      <c r="F115" s="84">
        <f t="shared" si="167"/>
        <v>0</v>
      </c>
      <c r="H115" s="75">
        <f t="shared" si="168"/>
        <v>183</v>
      </c>
      <c r="I115" s="77">
        <f t="shared" si="169"/>
        <v>0</v>
      </c>
      <c r="J115" s="77">
        <f t="shared" si="170"/>
        <v>0</v>
      </c>
      <c r="K115" s="77">
        <f t="shared" si="171"/>
        <v>0</v>
      </c>
      <c r="L115" s="77">
        <f t="shared" si="172"/>
        <v>0</v>
      </c>
      <c r="M115" s="77">
        <f t="shared" si="173"/>
        <v>0</v>
      </c>
      <c r="P115" s="54"/>
      <c r="Q115" s="4">
        <f t="shared" si="109"/>
        <v>45219</v>
      </c>
      <c r="R115" s="24">
        <f t="shared" si="110"/>
        <v>0</v>
      </c>
      <c r="S115" s="25">
        <f t="shared" si="111"/>
        <v>0</v>
      </c>
      <c r="T115" s="24">
        <f t="shared" si="112"/>
        <v>0</v>
      </c>
      <c r="U115" s="25">
        <f t="shared" si="113"/>
        <v>0</v>
      </c>
      <c r="V115" s="24">
        <f t="shared" si="114"/>
        <v>0</v>
      </c>
      <c r="W115" s="25">
        <f t="shared" si="115"/>
        <v>0</v>
      </c>
      <c r="X115" s="24">
        <f t="shared" si="116"/>
        <v>0</v>
      </c>
      <c r="Y115" s="26">
        <f t="shared" si="117"/>
        <v>0</v>
      </c>
      <c r="Z115" s="27">
        <f t="shared" si="118"/>
        <v>0</v>
      </c>
      <c r="AA115" s="28">
        <f t="shared" si="119"/>
        <v>45219</v>
      </c>
      <c r="AB115" s="24">
        <f t="shared" si="120"/>
        <v>0</v>
      </c>
      <c r="AC115" s="25">
        <f t="shared" si="121"/>
        <v>0</v>
      </c>
      <c r="AD115" s="28">
        <f t="shared" si="122"/>
        <v>45219</v>
      </c>
      <c r="AE115" s="24">
        <f t="shared" si="123"/>
        <v>0</v>
      </c>
      <c r="AF115" s="25">
        <f t="shared" si="124"/>
        <v>0</v>
      </c>
      <c r="AG115" s="28">
        <f t="shared" si="125"/>
        <v>45219</v>
      </c>
      <c r="AH115" s="24">
        <f t="shared" si="126"/>
        <v>0</v>
      </c>
      <c r="AI115" s="25">
        <f t="shared" si="127"/>
        <v>0</v>
      </c>
      <c r="AJ115" s="28">
        <f t="shared" si="128"/>
        <v>45219</v>
      </c>
      <c r="AK115" s="24">
        <f t="shared" si="129"/>
        <v>0</v>
      </c>
      <c r="AL115" s="25">
        <f t="shared" si="130"/>
        <v>0</v>
      </c>
      <c r="AM115" s="29">
        <f t="shared" si="131"/>
        <v>0</v>
      </c>
      <c r="AN115" s="28">
        <f t="shared" si="132"/>
        <v>45219</v>
      </c>
      <c r="AO115" s="373">
        <f t="shared" si="101"/>
        <v>0</v>
      </c>
      <c r="AP115" s="374">
        <f t="shared" si="102"/>
        <v>0</v>
      </c>
      <c r="AQ115" s="27">
        <f t="shared" si="103"/>
        <v>0</v>
      </c>
      <c r="AR115" s="25">
        <f t="shared" si="104"/>
        <v>0</v>
      </c>
      <c r="AS115" s="25">
        <f t="shared" si="105"/>
        <v>0</v>
      </c>
      <c r="AT115" s="25">
        <f t="shared" si="106"/>
        <v>0</v>
      </c>
      <c r="AU115" s="29">
        <f t="shared" si="163"/>
        <v>0</v>
      </c>
      <c r="AV115" s="27">
        <f t="shared" si="133"/>
        <v>0</v>
      </c>
      <c r="AW115" s="27">
        <f t="shared" si="134"/>
        <v>0</v>
      </c>
      <c r="AX115" s="27">
        <f t="shared" si="135"/>
        <v>0</v>
      </c>
      <c r="AY115" s="27">
        <f t="shared" si="136"/>
        <v>0</v>
      </c>
      <c r="BH115" s="2">
        <f t="shared" si="137"/>
        <v>0</v>
      </c>
      <c r="BI115" s="298" t="str">
        <f t="shared" si="138"/>
        <v/>
      </c>
      <c r="BJ115" s="298" t="str">
        <f t="shared" si="107"/>
        <v/>
      </c>
      <c r="BQ115" s="4">
        <f t="shared" si="139"/>
        <v>45219</v>
      </c>
      <c r="BR115" s="112">
        <f t="shared" si="140"/>
        <v>0</v>
      </c>
      <c r="BS115" s="112">
        <f t="shared" si="141"/>
        <v>0</v>
      </c>
      <c r="BT115" s="112">
        <f t="shared" si="142"/>
        <v>0</v>
      </c>
      <c r="BU115" s="112">
        <f t="shared" si="143"/>
        <v>0</v>
      </c>
      <c r="BV115" s="112">
        <f t="shared" si="144"/>
        <v>0</v>
      </c>
      <c r="CI115" s="4">
        <f t="shared" si="145"/>
        <v>45219</v>
      </c>
      <c r="CJ115" s="50">
        <f ca="1">IF($BH115=0,IF($CO115="",CJ114+R115,IF('283'!$K$251=1,VLOOKUP($CO115,PerStBal,2)+R115,IF('283'!$K$253=1,(VLOOKUP($CO115,PerPortion,2)*VLOOKUP($CO115,PerStBal,6))+R115,GL!BS115))),0)</f>
        <v>0</v>
      </c>
      <c r="CK115" s="425">
        <f ca="1">IF($BH115=0,IF($CO115="",CK114+T115,IF('283'!$K$251=1,IF(mname2&lt;&gt;"",VLOOKUP($CO115,PerStBal,3)+T115,0),IF('283'!$K$253=1,(VLOOKUP($CO115,PerPortion,3)*VLOOKUP($CO115,PerStBal,6))+T115,GL!BT115))),0)</f>
        <v>0</v>
      </c>
      <c r="CL115" s="425">
        <f ca="1">IF($BH115=0,IF($CO115="",CL114+V115,IF('283'!$K$251=1,IF(mname3&lt;&gt;"",VLOOKUP($CO115,PerStBal,4)+V115,0),IF('283'!$K$253=1,(VLOOKUP($CO115,PerPortion,4)*VLOOKUP($CO115,PerStBal,6))+V115,GL!BU115))),0)</f>
        <v>0</v>
      </c>
      <c r="CM115" s="425">
        <f ca="1">IF($BH115=0,IF($CO115="",CM114+X115,IF('283'!$K$251=1,IF(mname4&lt;&gt;"",VLOOKUP($CO115,PerStBal,5)+X115,0),IF('283'!$K$253=1,(VLOOKUP($CO115,PerPortion,5)*VLOOKUP($CO115,PerStBal,6))+X115,GL!BV115))),0)</f>
        <v>0</v>
      </c>
      <c r="CN115" s="50">
        <f t="shared" ca="1" si="146"/>
        <v>0</v>
      </c>
      <c r="CO115" s="4" t="str">
        <f t="shared" ca="1" si="147"/>
        <v/>
      </c>
      <c r="CP115" s="377">
        <f t="shared" si="108"/>
        <v>0</v>
      </c>
      <c r="DI115" s="4">
        <f t="shared" si="148"/>
        <v>45219</v>
      </c>
      <c r="DJ115" s="112">
        <f t="shared" ca="1" si="149"/>
        <v>0</v>
      </c>
      <c r="DK115" s="112">
        <f t="shared" si="150"/>
        <v>0</v>
      </c>
      <c r="DL115" s="4">
        <f t="shared" si="151"/>
        <v>45219</v>
      </c>
      <c r="DM115" s="112">
        <f t="shared" ca="1" si="152"/>
        <v>0</v>
      </c>
      <c r="DN115" s="112">
        <f t="shared" si="153"/>
        <v>0</v>
      </c>
      <c r="DO115" s="4">
        <f t="shared" si="154"/>
        <v>45219</v>
      </c>
      <c r="DP115" s="112">
        <f t="shared" ca="1" si="155"/>
        <v>0</v>
      </c>
      <c r="DQ115" s="112">
        <f t="shared" si="156"/>
        <v>0</v>
      </c>
      <c r="DR115" s="4">
        <f t="shared" si="157"/>
        <v>45219</v>
      </c>
      <c r="DS115" s="112">
        <f t="shared" ca="1" si="158"/>
        <v>0</v>
      </c>
      <c r="DT115" s="112">
        <f t="shared" si="159"/>
        <v>0</v>
      </c>
      <c r="DU115" s="4">
        <f t="shared" si="160"/>
        <v>45219</v>
      </c>
      <c r="DV115" s="112">
        <f t="shared" si="161"/>
        <v>0</v>
      </c>
      <c r="DW115" s="112">
        <f t="shared" si="162"/>
        <v>0</v>
      </c>
    </row>
    <row r="116" spans="2:127" x14ac:dyDescent="0.25">
      <c r="B116" s="74">
        <f t="shared" ref="B116:B147" si="174">IF(C7&lt;&gt;"",YearEnd-C7,DaysInYear/2)</f>
        <v>183</v>
      </c>
      <c r="C116" s="84">
        <f t="shared" si="167"/>
        <v>0</v>
      </c>
      <c r="D116" s="84">
        <f t="shared" si="167"/>
        <v>0</v>
      </c>
      <c r="E116" s="84">
        <f t="shared" si="167"/>
        <v>0</v>
      </c>
      <c r="F116" s="84">
        <f t="shared" si="167"/>
        <v>0</v>
      </c>
      <c r="H116" s="75">
        <f t="shared" si="168"/>
        <v>183</v>
      </c>
      <c r="I116" s="77">
        <f t="shared" si="169"/>
        <v>0</v>
      </c>
      <c r="J116" s="77">
        <f t="shared" si="170"/>
        <v>0</v>
      </c>
      <c r="K116" s="77">
        <f t="shared" si="171"/>
        <v>0</v>
      </c>
      <c r="L116" s="77">
        <f t="shared" si="172"/>
        <v>0</v>
      </c>
      <c r="M116" s="77">
        <f t="shared" si="173"/>
        <v>0</v>
      </c>
      <c r="P116" s="54"/>
      <c r="Q116" s="4">
        <f t="shared" si="109"/>
        <v>45220</v>
      </c>
      <c r="R116" s="24">
        <f t="shared" si="110"/>
        <v>0</v>
      </c>
      <c r="S116" s="25">
        <f t="shared" si="111"/>
        <v>0</v>
      </c>
      <c r="T116" s="24">
        <f t="shared" si="112"/>
        <v>0</v>
      </c>
      <c r="U116" s="25">
        <f t="shared" si="113"/>
        <v>0</v>
      </c>
      <c r="V116" s="24">
        <f t="shared" si="114"/>
        <v>0</v>
      </c>
      <c r="W116" s="25">
        <f t="shared" si="115"/>
        <v>0</v>
      </c>
      <c r="X116" s="24">
        <f t="shared" si="116"/>
        <v>0</v>
      </c>
      <c r="Y116" s="26">
        <f t="shared" si="117"/>
        <v>0</v>
      </c>
      <c r="Z116" s="27">
        <f t="shared" si="118"/>
        <v>0</v>
      </c>
      <c r="AA116" s="28">
        <f t="shared" si="119"/>
        <v>45220</v>
      </c>
      <c r="AB116" s="24">
        <f t="shared" si="120"/>
        <v>0</v>
      </c>
      <c r="AC116" s="25">
        <f t="shared" si="121"/>
        <v>0</v>
      </c>
      <c r="AD116" s="28">
        <f t="shared" si="122"/>
        <v>45220</v>
      </c>
      <c r="AE116" s="24">
        <f t="shared" si="123"/>
        <v>0</v>
      </c>
      <c r="AF116" s="25">
        <f t="shared" si="124"/>
        <v>0</v>
      </c>
      <c r="AG116" s="28">
        <f t="shared" si="125"/>
        <v>45220</v>
      </c>
      <c r="AH116" s="24">
        <f t="shared" si="126"/>
        <v>0</v>
      </c>
      <c r="AI116" s="25">
        <f t="shared" si="127"/>
        <v>0</v>
      </c>
      <c r="AJ116" s="28">
        <f t="shared" si="128"/>
        <v>45220</v>
      </c>
      <c r="AK116" s="24">
        <f t="shared" si="129"/>
        <v>0</v>
      </c>
      <c r="AL116" s="25">
        <f t="shared" si="130"/>
        <v>0</v>
      </c>
      <c r="AM116" s="29">
        <f t="shared" si="131"/>
        <v>0</v>
      </c>
      <c r="AN116" s="28">
        <f t="shared" si="132"/>
        <v>45220</v>
      </c>
      <c r="AO116" s="373">
        <f t="shared" si="101"/>
        <v>0</v>
      </c>
      <c r="AP116" s="374">
        <f t="shared" si="102"/>
        <v>0</v>
      </c>
      <c r="AQ116" s="27">
        <f t="shared" si="103"/>
        <v>0</v>
      </c>
      <c r="AR116" s="25">
        <f t="shared" si="104"/>
        <v>0</v>
      </c>
      <c r="AS116" s="25">
        <f t="shared" si="105"/>
        <v>0</v>
      </c>
      <c r="AT116" s="25">
        <f t="shared" si="106"/>
        <v>0</v>
      </c>
      <c r="AU116" s="29">
        <f t="shared" si="163"/>
        <v>0</v>
      </c>
      <c r="AV116" s="27">
        <f t="shared" si="133"/>
        <v>0</v>
      </c>
      <c r="AW116" s="27">
        <f t="shared" si="134"/>
        <v>0</v>
      </c>
      <c r="AX116" s="27">
        <f t="shared" si="135"/>
        <v>0</v>
      </c>
      <c r="AY116" s="27">
        <f t="shared" si="136"/>
        <v>0</v>
      </c>
      <c r="BH116" s="2">
        <f t="shared" si="137"/>
        <v>0</v>
      </c>
      <c r="BI116" s="298" t="str">
        <f t="shared" si="138"/>
        <v/>
      </c>
      <c r="BJ116" s="298" t="str">
        <f t="shared" si="107"/>
        <v/>
      </c>
      <c r="BQ116" s="4">
        <f t="shared" si="139"/>
        <v>45220</v>
      </c>
      <c r="BR116" s="112">
        <f t="shared" si="140"/>
        <v>0</v>
      </c>
      <c r="BS116" s="112">
        <f t="shared" si="141"/>
        <v>0</v>
      </c>
      <c r="BT116" s="112">
        <f t="shared" si="142"/>
        <v>0</v>
      </c>
      <c r="BU116" s="112">
        <f t="shared" si="143"/>
        <v>0</v>
      </c>
      <c r="BV116" s="112">
        <f t="shared" si="144"/>
        <v>0</v>
      </c>
      <c r="CI116" s="4">
        <f t="shared" si="145"/>
        <v>45220</v>
      </c>
      <c r="CJ116" s="50">
        <f ca="1">IF($BH116=0,IF($CO116="",CJ115+R116,IF('283'!$K$251=1,VLOOKUP($CO116,PerStBal,2)+R116,IF('283'!$K$253=1,(VLOOKUP($CO116,PerPortion,2)*VLOOKUP($CO116,PerStBal,6))+R116,GL!BS116))),0)</f>
        <v>0</v>
      </c>
      <c r="CK116" s="425">
        <f ca="1">IF($BH116=0,IF($CO116="",CK115+T116,IF('283'!$K$251=1,IF(mname2&lt;&gt;"",VLOOKUP($CO116,PerStBal,3)+T116,0),IF('283'!$K$253=1,(VLOOKUP($CO116,PerPortion,3)*VLOOKUP($CO116,PerStBal,6))+T116,GL!BT116))),0)</f>
        <v>0</v>
      </c>
      <c r="CL116" s="425">
        <f ca="1">IF($BH116=0,IF($CO116="",CL115+V116,IF('283'!$K$251=1,IF(mname3&lt;&gt;"",VLOOKUP($CO116,PerStBal,4)+V116,0),IF('283'!$K$253=1,(VLOOKUP($CO116,PerPortion,4)*VLOOKUP($CO116,PerStBal,6))+V116,GL!BU116))),0)</f>
        <v>0</v>
      </c>
      <c r="CM116" s="425">
        <f ca="1">IF($BH116=0,IF($CO116="",CM115+X116,IF('283'!$K$251=1,IF(mname4&lt;&gt;"",VLOOKUP($CO116,PerStBal,5)+X116,0),IF('283'!$K$253=1,(VLOOKUP($CO116,PerPortion,5)*VLOOKUP($CO116,PerStBal,6))+X116,GL!BV116))),0)</f>
        <v>0</v>
      </c>
      <c r="CN116" s="50">
        <f t="shared" ca="1" si="146"/>
        <v>0</v>
      </c>
      <c r="CO116" s="4" t="str">
        <f t="shared" ca="1" si="147"/>
        <v/>
      </c>
      <c r="CP116" s="377">
        <f t="shared" si="108"/>
        <v>0</v>
      </c>
      <c r="DI116" s="4">
        <f t="shared" si="148"/>
        <v>45220</v>
      </c>
      <c r="DJ116" s="112">
        <f t="shared" ca="1" si="149"/>
        <v>0</v>
      </c>
      <c r="DK116" s="112">
        <f t="shared" si="150"/>
        <v>0</v>
      </c>
      <c r="DL116" s="4">
        <f t="shared" si="151"/>
        <v>45220</v>
      </c>
      <c r="DM116" s="112">
        <f t="shared" ca="1" si="152"/>
        <v>0</v>
      </c>
      <c r="DN116" s="112">
        <f t="shared" si="153"/>
        <v>0</v>
      </c>
      <c r="DO116" s="4">
        <f t="shared" si="154"/>
        <v>45220</v>
      </c>
      <c r="DP116" s="112">
        <f t="shared" ca="1" si="155"/>
        <v>0</v>
      </c>
      <c r="DQ116" s="112">
        <f t="shared" si="156"/>
        <v>0</v>
      </c>
      <c r="DR116" s="4">
        <f t="shared" si="157"/>
        <v>45220</v>
      </c>
      <c r="DS116" s="112">
        <f t="shared" ca="1" si="158"/>
        <v>0</v>
      </c>
      <c r="DT116" s="112">
        <f t="shared" si="159"/>
        <v>0</v>
      </c>
      <c r="DU116" s="4">
        <f t="shared" si="160"/>
        <v>45220</v>
      </c>
      <c r="DV116" s="112">
        <f t="shared" si="161"/>
        <v>0</v>
      </c>
      <c r="DW116" s="112">
        <f t="shared" si="162"/>
        <v>0</v>
      </c>
    </row>
    <row r="117" spans="2:127" x14ac:dyDescent="0.25">
      <c r="B117" s="74">
        <f t="shared" si="174"/>
        <v>183</v>
      </c>
      <c r="C117" s="84">
        <f t="shared" si="167"/>
        <v>0</v>
      </c>
      <c r="D117" s="84">
        <f t="shared" si="167"/>
        <v>0</v>
      </c>
      <c r="E117" s="84">
        <f t="shared" si="167"/>
        <v>0</v>
      </c>
      <c r="F117" s="84">
        <f t="shared" si="167"/>
        <v>0</v>
      </c>
      <c r="H117" s="75">
        <f t="shared" si="168"/>
        <v>183</v>
      </c>
      <c r="I117" s="77">
        <f t="shared" si="169"/>
        <v>0</v>
      </c>
      <c r="J117" s="77">
        <f t="shared" si="170"/>
        <v>0</v>
      </c>
      <c r="K117" s="77">
        <f t="shared" si="171"/>
        <v>0</v>
      </c>
      <c r="L117" s="77">
        <f t="shared" si="172"/>
        <v>0</v>
      </c>
      <c r="M117" s="77">
        <f t="shared" si="173"/>
        <v>0</v>
      </c>
      <c r="P117" s="54"/>
      <c r="Q117" s="4">
        <f t="shared" si="109"/>
        <v>45221</v>
      </c>
      <c r="R117" s="24">
        <f t="shared" si="110"/>
        <v>0</v>
      </c>
      <c r="S117" s="25">
        <f t="shared" si="111"/>
        <v>0</v>
      </c>
      <c r="T117" s="24">
        <f t="shared" si="112"/>
        <v>0</v>
      </c>
      <c r="U117" s="25">
        <f t="shared" si="113"/>
        <v>0</v>
      </c>
      <c r="V117" s="24">
        <f t="shared" si="114"/>
        <v>0</v>
      </c>
      <c r="W117" s="25">
        <f t="shared" si="115"/>
        <v>0</v>
      </c>
      <c r="X117" s="24">
        <f t="shared" si="116"/>
        <v>0</v>
      </c>
      <c r="Y117" s="26">
        <f t="shared" si="117"/>
        <v>0</v>
      </c>
      <c r="Z117" s="27">
        <f t="shared" si="118"/>
        <v>0</v>
      </c>
      <c r="AA117" s="28">
        <f t="shared" si="119"/>
        <v>45221</v>
      </c>
      <c r="AB117" s="24">
        <f t="shared" si="120"/>
        <v>0</v>
      </c>
      <c r="AC117" s="25">
        <f t="shared" si="121"/>
        <v>0</v>
      </c>
      <c r="AD117" s="28">
        <f t="shared" si="122"/>
        <v>45221</v>
      </c>
      <c r="AE117" s="24">
        <f t="shared" si="123"/>
        <v>0</v>
      </c>
      <c r="AF117" s="25">
        <f t="shared" si="124"/>
        <v>0</v>
      </c>
      <c r="AG117" s="28">
        <f t="shared" si="125"/>
        <v>45221</v>
      </c>
      <c r="AH117" s="24">
        <f t="shared" si="126"/>
        <v>0</v>
      </c>
      <c r="AI117" s="25">
        <f t="shared" si="127"/>
        <v>0</v>
      </c>
      <c r="AJ117" s="28">
        <f t="shared" si="128"/>
        <v>45221</v>
      </c>
      <c r="AK117" s="24">
        <f t="shared" si="129"/>
        <v>0</v>
      </c>
      <c r="AL117" s="25">
        <f t="shared" si="130"/>
        <v>0</v>
      </c>
      <c r="AM117" s="29">
        <f t="shared" si="131"/>
        <v>0</v>
      </c>
      <c r="AN117" s="28">
        <f t="shared" si="132"/>
        <v>45221</v>
      </c>
      <c r="AO117" s="373">
        <f t="shared" si="101"/>
        <v>0</v>
      </c>
      <c r="AP117" s="374">
        <f t="shared" si="102"/>
        <v>0</v>
      </c>
      <c r="AQ117" s="27">
        <f t="shared" si="103"/>
        <v>0</v>
      </c>
      <c r="AR117" s="25">
        <f t="shared" si="104"/>
        <v>0</v>
      </c>
      <c r="AS117" s="25">
        <f t="shared" si="105"/>
        <v>0</v>
      </c>
      <c r="AT117" s="25">
        <f t="shared" si="106"/>
        <v>0</v>
      </c>
      <c r="AU117" s="29">
        <f t="shared" si="163"/>
        <v>0</v>
      </c>
      <c r="AV117" s="27">
        <f t="shared" si="133"/>
        <v>0</v>
      </c>
      <c r="AW117" s="27">
        <f t="shared" si="134"/>
        <v>0</v>
      </c>
      <c r="AX117" s="27">
        <f t="shared" si="135"/>
        <v>0</v>
      </c>
      <c r="AY117" s="27">
        <f t="shared" si="136"/>
        <v>0</v>
      </c>
      <c r="BH117" s="2">
        <f t="shared" si="137"/>
        <v>0</v>
      </c>
      <c r="BI117" s="298" t="str">
        <f t="shared" si="138"/>
        <v/>
      </c>
      <c r="BJ117" s="298" t="str">
        <f t="shared" si="107"/>
        <v/>
      </c>
      <c r="BQ117" s="4">
        <f t="shared" si="139"/>
        <v>45221</v>
      </c>
      <c r="BR117" s="112">
        <f t="shared" si="140"/>
        <v>0</v>
      </c>
      <c r="BS117" s="112">
        <f t="shared" si="141"/>
        <v>0</v>
      </c>
      <c r="BT117" s="112">
        <f t="shared" si="142"/>
        <v>0</v>
      </c>
      <c r="BU117" s="112">
        <f t="shared" si="143"/>
        <v>0</v>
      </c>
      <c r="BV117" s="112">
        <f t="shared" si="144"/>
        <v>0</v>
      </c>
      <c r="CI117" s="4">
        <f t="shared" si="145"/>
        <v>45221</v>
      </c>
      <c r="CJ117" s="50">
        <f ca="1">IF($BH117=0,IF($CO117="",CJ116+R117,IF('283'!$K$251=1,VLOOKUP($CO117,PerStBal,2)+R117,IF('283'!$K$253=1,(VLOOKUP($CO117,PerPortion,2)*VLOOKUP($CO117,PerStBal,6))+R117,GL!BS117))),0)</f>
        <v>0</v>
      </c>
      <c r="CK117" s="425">
        <f ca="1">IF($BH117=0,IF($CO117="",CK116+T117,IF('283'!$K$251=1,IF(mname2&lt;&gt;"",VLOOKUP($CO117,PerStBal,3)+T117,0),IF('283'!$K$253=1,(VLOOKUP($CO117,PerPortion,3)*VLOOKUP($CO117,PerStBal,6))+T117,GL!BT117))),0)</f>
        <v>0</v>
      </c>
      <c r="CL117" s="425">
        <f ca="1">IF($BH117=0,IF($CO117="",CL116+V117,IF('283'!$K$251=1,IF(mname3&lt;&gt;"",VLOOKUP($CO117,PerStBal,4)+V117,0),IF('283'!$K$253=1,(VLOOKUP($CO117,PerPortion,4)*VLOOKUP($CO117,PerStBal,6))+V117,GL!BU117))),0)</f>
        <v>0</v>
      </c>
      <c r="CM117" s="425">
        <f ca="1">IF($BH117=0,IF($CO117="",CM116+X117,IF('283'!$K$251=1,IF(mname4&lt;&gt;"",VLOOKUP($CO117,PerStBal,5)+X117,0),IF('283'!$K$253=1,(VLOOKUP($CO117,PerPortion,5)*VLOOKUP($CO117,PerStBal,6))+X117,GL!BV117))),0)</f>
        <v>0</v>
      </c>
      <c r="CN117" s="50">
        <f t="shared" ca="1" si="146"/>
        <v>0</v>
      </c>
      <c r="CO117" s="4" t="str">
        <f t="shared" ca="1" si="147"/>
        <v/>
      </c>
      <c r="CP117" s="377">
        <f t="shared" si="108"/>
        <v>0</v>
      </c>
      <c r="DI117" s="4">
        <f t="shared" si="148"/>
        <v>45221</v>
      </c>
      <c r="DJ117" s="112">
        <f t="shared" ca="1" si="149"/>
        <v>0</v>
      </c>
      <c r="DK117" s="112">
        <f t="shared" si="150"/>
        <v>0</v>
      </c>
      <c r="DL117" s="4">
        <f t="shared" si="151"/>
        <v>45221</v>
      </c>
      <c r="DM117" s="112">
        <f t="shared" ca="1" si="152"/>
        <v>0</v>
      </c>
      <c r="DN117" s="112">
        <f t="shared" si="153"/>
        <v>0</v>
      </c>
      <c r="DO117" s="4">
        <f t="shared" si="154"/>
        <v>45221</v>
      </c>
      <c r="DP117" s="112">
        <f t="shared" ca="1" si="155"/>
        <v>0</v>
      </c>
      <c r="DQ117" s="112">
        <f t="shared" si="156"/>
        <v>0</v>
      </c>
      <c r="DR117" s="4">
        <f t="shared" si="157"/>
        <v>45221</v>
      </c>
      <c r="DS117" s="112">
        <f t="shared" ca="1" si="158"/>
        <v>0</v>
      </c>
      <c r="DT117" s="112">
        <f t="shared" si="159"/>
        <v>0</v>
      </c>
      <c r="DU117" s="4">
        <f t="shared" si="160"/>
        <v>45221</v>
      </c>
      <c r="DV117" s="112">
        <f t="shared" si="161"/>
        <v>0</v>
      </c>
      <c r="DW117" s="112">
        <f t="shared" si="162"/>
        <v>0</v>
      </c>
    </row>
    <row r="118" spans="2:127" x14ac:dyDescent="0.25">
      <c r="B118" s="74">
        <f t="shared" si="174"/>
        <v>183</v>
      </c>
      <c r="C118" s="84">
        <f t="shared" si="167"/>
        <v>0</v>
      </c>
      <c r="D118" s="84">
        <f t="shared" si="167"/>
        <v>0</v>
      </c>
      <c r="E118" s="84">
        <f t="shared" si="167"/>
        <v>0</v>
      </c>
      <c r="F118" s="84">
        <f t="shared" si="167"/>
        <v>0</v>
      </c>
      <c r="H118" s="75">
        <f t="shared" si="168"/>
        <v>183</v>
      </c>
      <c r="I118" s="77">
        <f t="shared" si="169"/>
        <v>0</v>
      </c>
      <c r="J118" s="77">
        <f t="shared" si="170"/>
        <v>0</v>
      </c>
      <c r="K118" s="77">
        <f t="shared" si="171"/>
        <v>0</v>
      </c>
      <c r="L118" s="77">
        <f t="shared" si="172"/>
        <v>0</v>
      </c>
      <c r="M118" s="77">
        <f t="shared" si="173"/>
        <v>0</v>
      </c>
      <c r="P118" s="54"/>
      <c r="Q118" s="4">
        <f t="shared" si="109"/>
        <v>45222</v>
      </c>
      <c r="R118" s="24">
        <f t="shared" si="110"/>
        <v>0</v>
      </c>
      <c r="S118" s="25">
        <f t="shared" si="111"/>
        <v>0</v>
      </c>
      <c r="T118" s="24">
        <f t="shared" si="112"/>
        <v>0</v>
      </c>
      <c r="U118" s="25">
        <f t="shared" si="113"/>
        <v>0</v>
      </c>
      <c r="V118" s="24">
        <f t="shared" si="114"/>
        <v>0</v>
      </c>
      <c r="W118" s="25">
        <f t="shared" si="115"/>
        <v>0</v>
      </c>
      <c r="X118" s="24">
        <f t="shared" si="116"/>
        <v>0</v>
      </c>
      <c r="Y118" s="26">
        <f t="shared" si="117"/>
        <v>0</v>
      </c>
      <c r="Z118" s="27">
        <f t="shared" si="118"/>
        <v>0</v>
      </c>
      <c r="AA118" s="28">
        <f t="shared" si="119"/>
        <v>45222</v>
      </c>
      <c r="AB118" s="24">
        <f t="shared" si="120"/>
        <v>0</v>
      </c>
      <c r="AC118" s="25">
        <f t="shared" si="121"/>
        <v>0</v>
      </c>
      <c r="AD118" s="28">
        <f t="shared" si="122"/>
        <v>45222</v>
      </c>
      <c r="AE118" s="24">
        <f t="shared" si="123"/>
        <v>0</v>
      </c>
      <c r="AF118" s="25">
        <f t="shared" si="124"/>
        <v>0</v>
      </c>
      <c r="AG118" s="28">
        <f t="shared" si="125"/>
        <v>45222</v>
      </c>
      <c r="AH118" s="24">
        <f t="shared" si="126"/>
        <v>0</v>
      </c>
      <c r="AI118" s="25">
        <f t="shared" si="127"/>
        <v>0</v>
      </c>
      <c r="AJ118" s="28">
        <f t="shared" si="128"/>
        <v>45222</v>
      </c>
      <c r="AK118" s="24">
        <f t="shared" si="129"/>
        <v>0</v>
      </c>
      <c r="AL118" s="25">
        <f t="shared" si="130"/>
        <v>0</v>
      </c>
      <c r="AM118" s="29">
        <f t="shared" si="131"/>
        <v>0</v>
      </c>
      <c r="AN118" s="28">
        <f t="shared" si="132"/>
        <v>45222</v>
      </c>
      <c r="AO118" s="373">
        <f t="shared" si="101"/>
        <v>0</v>
      </c>
      <c r="AP118" s="374">
        <f t="shared" si="102"/>
        <v>0</v>
      </c>
      <c r="AQ118" s="27">
        <f t="shared" si="103"/>
        <v>0</v>
      </c>
      <c r="AR118" s="25">
        <f t="shared" si="104"/>
        <v>0</v>
      </c>
      <c r="AS118" s="25">
        <f t="shared" si="105"/>
        <v>0</v>
      </c>
      <c r="AT118" s="25">
        <f t="shared" si="106"/>
        <v>0</v>
      </c>
      <c r="AU118" s="29">
        <f t="shared" si="163"/>
        <v>0</v>
      </c>
      <c r="AV118" s="27">
        <f t="shared" si="133"/>
        <v>0</v>
      </c>
      <c r="AW118" s="27">
        <f t="shared" si="134"/>
        <v>0</v>
      </c>
      <c r="AX118" s="27">
        <f t="shared" si="135"/>
        <v>0</v>
      </c>
      <c r="AY118" s="27">
        <f t="shared" si="136"/>
        <v>0</v>
      </c>
      <c r="BH118" s="2">
        <f t="shared" si="137"/>
        <v>0</v>
      </c>
      <c r="BI118" s="298" t="str">
        <f t="shared" si="138"/>
        <v/>
      </c>
      <c r="BJ118" s="298" t="str">
        <f t="shared" si="107"/>
        <v/>
      </c>
      <c r="BQ118" s="4">
        <f t="shared" si="139"/>
        <v>45222</v>
      </c>
      <c r="BR118" s="112">
        <f t="shared" si="140"/>
        <v>0</v>
      </c>
      <c r="BS118" s="112">
        <f t="shared" si="141"/>
        <v>0</v>
      </c>
      <c r="BT118" s="112">
        <f t="shared" si="142"/>
        <v>0</v>
      </c>
      <c r="BU118" s="112">
        <f t="shared" si="143"/>
        <v>0</v>
      </c>
      <c r="BV118" s="112">
        <f t="shared" si="144"/>
        <v>0</v>
      </c>
      <c r="CI118" s="4">
        <f t="shared" si="145"/>
        <v>45222</v>
      </c>
      <c r="CJ118" s="50">
        <f ca="1">IF($BH118=0,IF($CO118="",CJ117+R118,IF('283'!$K$251=1,VLOOKUP($CO118,PerStBal,2)+R118,IF('283'!$K$253=1,(VLOOKUP($CO118,PerPortion,2)*VLOOKUP($CO118,PerStBal,6))+R118,GL!BS118))),0)</f>
        <v>0</v>
      </c>
      <c r="CK118" s="425">
        <f ca="1">IF($BH118=0,IF($CO118="",CK117+T118,IF('283'!$K$251=1,IF(mname2&lt;&gt;"",VLOOKUP($CO118,PerStBal,3)+T118,0),IF('283'!$K$253=1,(VLOOKUP($CO118,PerPortion,3)*VLOOKUP($CO118,PerStBal,6))+T118,GL!BT118))),0)</f>
        <v>0</v>
      </c>
      <c r="CL118" s="425">
        <f ca="1">IF($BH118=0,IF($CO118="",CL117+V118,IF('283'!$K$251=1,IF(mname3&lt;&gt;"",VLOOKUP($CO118,PerStBal,4)+V118,0),IF('283'!$K$253=1,(VLOOKUP($CO118,PerPortion,4)*VLOOKUP($CO118,PerStBal,6))+V118,GL!BU118))),0)</f>
        <v>0</v>
      </c>
      <c r="CM118" s="425">
        <f ca="1">IF($BH118=0,IF($CO118="",CM117+X118,IF('283'!$K$251=1,IF(mname4&lt;&gt;"",VLOOKUP($CO118,PerStBal,5)+X118,0),IF('283'!$K$253=1,(VLOOKUP($CO118,PerPortion,5)*VLOOKUP($CO118,PerStBal,6))+X118,GL!BV118))),0)</f>
        <v>0</v>
      </c>
      <c r="CN118" s="50">
        <f t="shared" ca="1" si="146"/>
        <v>0</v>
      </c>
      <c r="CO118" s="4" t="str">
        <f t="shared" ca="1" si="147"/>
        <v/>
      </c>
      <c r="CP118" s="377">
        <f t="shared" si="108"/>
        <v>0</v>
      </c>
      <c r="DI118" s="4">
        <f t="shared" si="148"/>
        <v>45222</v>
      </c>
      <c r="DJ118" s="112">
        <f t="shared" ca="1" si="149"/>
        <v>0</v>
      </c>
      <c r="DK118" s="112">
        <f t="shared" si="150"/>
        <v>0</v>
      </c>
      <c r="DL118" s="4">
        <f t="shared" si="151"/>
        <v>45222</v>
      </c>
      <c r="DM118" s="112">
        <f t="shared" ca="1" si="152"/>
        <v>0</v>
      </c>
      <c r="DN118" s="112">
        <f t="shared" si="153"/>
        <v>0</v>
      </c>
      <c r="DO118" s="4">
        <f t="shared" si="154"/>
        <v>45222</v>
      </c>
      <c r="DP118" s="112">
        <f t="shared" ca="1" si="155"/>
        <v>0</v>
      </c>
      <c r="DQ118" s="112">
        <f t="shared" si="156"/>
        <v>0</v>
      </c>
      <c r="DR118" s="4">
        <f t="shared" si="157"/>
        <v>45222</v>
      </c>
      <c r="DS118" s="112">
        <f t="shared" ca="1" si="158"/>
        <v>0</v>
      </c>
      <c r="DT118" s="112">
        <f t="shared" si="159"/>
        <v>0</v>
      </c>
      <c r="DU118" s="4">
        <f t="shared" si="160"/>
        <v>45222</v>
      </c>
      <c r="DV118" s="112">
        <f t="shared" si="161"/>
        <v>0</v>
      </c>
      <c r="DW118" s="112">
        <f t="shared" si="162"/>
        <v>0</v>
      </c>
    </row>
    <row r="119" spans="2:127" x14ac:dyDescent="0.25">
      <c r="B119" s="74">
        <f t="shared" si="174"/>
        <v>183</v>
      </c>
      <c r="C119" s="84">
        <f t="shared" si="167"/>
        <v>0</v>
      </c>
      <c r="D119" s="84">
        <f t="shared" si="167"/>
        <v>0</v>
      </c>
      <c r="E119" s="84">
        <f t="shared" si="167"/>
        <v>0</v>
      </c>
      <c r="F119" s="84">
        <f t="shared" si="167"/>
        <v>0</v>
      </c>
      <c r="H119" s="75">
        <f t="shared" si="168"/>
        <v>183</v>
      </c>
      <c r="I119" s="77">
        <f t="shared" si="169"/>
        <v>0</v>
      </c>
      <c r="J119" s="77">
        <f t="shared" si="170"/>
        <v>0</v>
      </c>
      <c r="K119" s="77">
        <f t="shared" si="171"/>
        <v>0</v>
      </c>
      <c r="L119" s="77">
        <f t="shared" si="172"/>
        <v>0</v>
      </c>
      <c r="M119" s="77">
        <f t="shared" si="173"/>
        <v>0</v>
      </c>
      <c r="P119" s="54"/>
      <c r="Q119" s="4">
        <f t="shared" si="109"/>
        <v>45223</v>
      </c>
      <c r="R119" s="24">
        <f t="shared" si="110"/>
        <v>0</v>
      </c>
      <c r="S119" s="25">
        <f t="shared" si="111"/>
        <v>0</v>
      </c>
      <c r="T119" s="24">
        <f t="shared" si="112"/>
        <v>0</v>
      </c>
      <c r="U119" s="25">
        <f t="shared" si="113"/>
        <v>0</v>
      </c>
      <c r="V119" s="24">
        <f t="shared" si="114"/>
        <v>0</v>
      </c>
      <c r="W119" s="25">
        <f t="shared" si="115"/>
        <v>0</v>
      </c>
      <c r="X119" s="24">
        <f t="shared" si="116"/>
        <v>0</v>
      </c>
      <c r="Y119" s="26">
        <f t="shared" si="117"/>
        <v>0</v>
      </c>
      <c r="Z119" s="27">
        <f t="shared" si="118"/>
        <v>0</v>
      </c>
      <c r="AA119" s="28">
        <f t="shared" si="119"/>
        <v>45223</v>
      </c>
      <c r="AB119" s="24">
        <f t="shared" si="120"/>
        <v>0</v>
      </c>
      <c r="AC119" s="25">
        <f t="shared" si="121"/>
        <v>0</v>
      </c>
      <c r="AD119" s="28">
        <f t="shared" si="122"/>
        <v>45223</v>
      </c>
      <c r="AE119" s="24">
        <f t="shared" si="123"/>
        <v>0</v>
      </c>
      <c r="AF119" s="25">
        <f t="shared" si="124"/>
        <v>0</v>
      </c>
      <c r="AG119" s="28">
        <f t="shared" si="125"/>
        <v>45223</v>
      </c>
      <c r="AH119" s="24">
        <f t="shared" si="126"/>
        <v>0</v>
      </c>
      <c r="AI119" s="25">
        <f t="shared" si="127"/>
        <v>0</v>
      </c>
      <c r="AJ119" s="28">
        <f t="shared" si="128"/>
        <v>45223</v>
      </c>
      <c r="AK119" s="24">
        <f t="shared" si="129"/>
        <v>0</v>
      </c>
      <c r="AL119" s="25">
        <f t="shared" si="130"/>
        <v>0</v>
      </c>
      <c r="AM119" s="29">
        <f t="shared" si="131"/>
        <v>0</v>
      </c>
      <c r="AN119" s="28">
        <f t="shared" si="132"/>
        <v>45223</v>
      </c>
      <c r="AO119" s="373">
        <f t="shared" si="101"/>
        <v>0</v>
      </c>
      <c r="AP119" s="374">
        <f t="shared" si="102"/>
        <v>0</v>
      </c>
      <c r="AQ119" s="27">
        <f t="shared" si="103"/>
        <v>0</v>
      </c>
      <c r="AR119" s="25">
        <f t="shared" si="104"/>
        <v>0</v>
      </c>
      <c r="AS119" s="25">
        <f t="shared" si="105"/>
        <v>0</v>
      </c>
      <c r="AT119" s="25">
        <f t="shared" si="106"/>
        <v>0</v>
      </c>
      <c r="AU119" s="29">
        <f t="shared" si="163"/>
        <v>0</v>
      </c>
      <c r="AV119" s="27">
        <f t="shared" si="133"/>
        <v>0</v>
      </c>
      <c r="AW119" s="27">
        <f t="shared" si="134"/>
        <v>0</v>
      </c>
      <c r="AX119" s="27">
        <f t="shared" si="135"/>
        <v>0</v>
      </c>
      <c r="AY119" s="27">
        <f t="shared" si="136"/>
        <v>0</v>
      </c>
      <c r="BH119" s="2">
        <f t="shared" si="137"/>
        <v>0</v>
      </c>
      <c r="BI119" s="298" t="str">
        <f t="shared" si="138"/>
        <v/>
      </c>
      <c r="BJ119" s="298" t="str">
        <f t="shared" si="107"/>
        <v/>
      </c>
      <c r="BQ119" s="4">
        <f t="shared" si="139"/>
        <v>45223</v>
      </c>
      <c r="BR119" s="112">
        <f t="shared" si="140"/>
        <v>0</v>
      </c>
      <c r="BS119" s="112">
        <f t="shared" si="141"/>
        <v>0</v>
      </c>
      <c r="BT119" s="112">
        <f t="shared" si="142"/>
        <v>0</v>
      </c>
      <c r="BU119" s="112">
        <f t="shared" si="143"/>
        <v>0</v>
      </c>
      <c r="BV119" s="112">
        <f t="shared" si="144"/>
        <v>0</v>
      </c>
      <c r="CI119" s="4">
        <f t="shared" si="145"/>
        <v>45223</v>
      </c>
      <c r="CJ119" s="50">
        <f ca="1">IF($BH119=0,IF($CO119="",CJ118+R119,IF('283'!$K$251=1,VLOOKUP($CO119,PerStBal,2)+R119,IF('283'!$K$253=1,(VLOOKUP($CO119,PerPortion,2)*VLOOKUP($CO119,PerStBal,6))+R119,GL!BS119))),0)</f>
        <v>0</v>
      </c>
      <c r="CK119" s="425">
        <f ca="1">IF($BH119=0,IF($CO119="",CK118+T119,IF('283'!$K$251=1,IF(mname2&lt;&gt;"",VLOOKUP($CO119,PerStBal,3)+T119,0),IF('283'!$K$253=1,(VLOOKUP($CO119,PerPortion,3)*VLOOKUP($CO119,PerStBal,6))+T119,GL!BT119))),0)</f>
        <v>0</v>
      </c>
      <c r="CL119" s="425">
        <f ca="1">IF($BH119=0,IF($CO119="",CL118+V119,IF('283'!$K$251=1,IF(mname3&lt;&gt;"",VLOOKUP($CO119,PerStBal,4)+V119,0),IF('283'!$K$253=1,(VLOOKUP($CO119,PerPortion,4)*VLOOKUP($CO119,PerStBal,6))+V119,GL!BU119))),0)</f>
        <v>0</v>
      </c>
      <c r="CM119" s="425">
        <f ca="1">IF($BH119=0,IF($CO119="",CM118+X119,IF('283'!$K$251=1,IF(mname4&lt;&gt;"",VLOOKUP($CO119,PerStBal,5)+X119,0),IF('283'!$K$253=1,(VLOOKUP($CO119,PerPortion,5)*VLOOKUP($CO119,PerStBal,6))+X119,GL!BV119))),0)</f>
        <v>0</v>
      </c>
      <c r="CN119" s="50">
        <f t="shared" ca="1" si="146"/>
        <v>0</v>
      </c>
      <c r="CO119" s="4" t="str">
        <f t="shared" ca="1" si="147"/>
        <v/>
      </c>
      <c r="CP119" s="377">
        <f t="shared" si="108"/>
        <v>0</v>
      </c>
      <c r="DI119" s="4">
        <f t="shared" si="148"/>
        <v>45223</v>
      </c>
      <c r="DJ119" s="112">
        <f t="shared" ca="1" si="149"/>
        <v>0</v>
      </c>
      <c r="DK119" s="112">
        <f t="shared" si="150"/>
        <v>0</v>
      </c>
      <c r="DL119" s="4">
        <f t="shared" si="151"/>
        <v>45223</v>
      </c>
      <c r="DM119" s="112">
        <f t="shared" ca="1" si="152"/>
        <v>0</v>
      </c>
      <c r="DN119" s="112">
        <f t="shared" si="153"/>
        <v>0</v>
      </c>
      <c r="DO119" s="4">
        <f t="shared" si="154"/>
        <v>45223</v>
      </c>
      <c r="DP119" s="112">
        <f t="shared" ca="1" si="155"/>
        <v>0</v>
      </c>
      <c r="DQ119" s="112">
        <f t="shared" si="156"/>
        <v>0</v>
      </c>
      <c r="DR119" s="4">
        <f t="shared" si="157"/>
        <v>45223</v>
      </c>
      <c r="DS119" s="112">
        <f t="shared" ca="1" si="158"/>
        <v>0</v>
      </c>
      <c r="DT119" s="112">
        <f t="shared" si="159"/>
        <v>0</v>
      </c>
      <c r="DU119" s="4">
        <f t="shared" si="160"/>
        <v>45223</v>
      </c>
      <c r="DV119" s="112">
        <f t="shared" si="161"/>
        <v>0</v>
      </c>
      <c r="DW119" s="112">
        <f t="shared" si="162"/>
        <v>0</v>
      </c>
    </row>
    <row r="120" spans="2:127" x14ac:dyDescent="0.25">
      <c r="B120" s="74">
        <f t="shared" si="174"/>
        <v>183</v>
      </c>
      <c r="C120" s="84">
        <f t="shared" si="167"/>
        <v>0</v>
      </c>
      <c r="D120" s="84">
        <f t="shared" si="167"/>
        <v>0</v>
      </c>
      <c r="E120" s="84">
        <f t="shared" si="167"/>
        <v>0</v>
      </c>
      <c r="F120" s="84">
        <f t="shared" si="167"/>
        <v>0</v>
      </c>
      <c r="H120" s="75">
        <f t="shared" si="168"/>
        <v>183</v>
      </c>
      <c r="I120" s="77">
        <f t="shared" si="169"/>
        <v>0</v>
      </c>
      <c r="J120" s="77">
        <f t="shared" si="170"/>
        <v>0</v>
      </c>
      <c r="K120" s="77">
        <f t="shared" si="171"/>
        <v>0</v>
      </c>
      <c r="L120" s="77">
        <f t="shared" si="172"/>
        <v>0</v>
      </c>
      <c r="M120" s="77">
        <f t="shared" si="173"/>
        <v>0</v>
      </c>
      <c r="P120" s="54"/>
      <c r="Q120" s="4">
        <f t="shared" si="109"/>
        <v>45224</v>
      </c>
      <c r="R120" s="24">
        <f t="shared" si="110"/>
        <v>0</v>
      </c>
      <c r="S120" s="25">
        <f t="shared" si="111"/>
        <v>0</v>
      </c>
      <c r="T120" s="24">
        <f t="shared" si="112"/>
        <v>0</v>
      </c>
      <c r="U120" s="25">
        <f t="shared" si="113"/>
        <v>0</v>
      </c>
      <c r="V120" s="24">
        <f t="shared" si="114"/>
        <v>0</v>
      </c>
      <c r="W120" s="25">
        <f t="shared" si="115"/>
        <v>0</v>
      </c>
      <c r="X120" s="24">
        <f t="shared" si="116"/>
        <v>0</v>
      </c>
      <c r="Y120" s="26">
        <f t="shared" si="117"/>
        <v>0</v>
      </c>
      <c r="Z120" s="27">
        <f t="shared" si="118"/>
        <v>0</v>
      </c>
      <c r="AA120" s="28">
        <f t="shared" si="119"/>
        <v>45224</v>
      </c>
      <c r="AB120" s="24">
        <f t="shared" si="120"/>
        <v>0</v>
      </c>
      <c r="AC120" s="25">
        <f t="shared" si="121"/>
        <v>0</v>
      </c>
      <c r="AD120" s="28">
        <f t="shared" si="122"/>
        <v>45224</v>
      </c>
      <c r="AE120" s="24">
        <f t="shared" si="123"/>
        <v>0</v>
      </c>
      <c r="AF120" s="25">
        <f t="shared" si="124"/>
        <v>0</v>
      </c>
      <c r="AG120" s="28">
        <f t="shared" si="125"/>
        <v>45224</v>
      </c>
      <c r="AH120" s="24">
        <f t="shared" si="126"/>
        <v>0</v>
      </c>
      <c r="AI120" s="25">
        <f t="shared" si="127"/>
        <v>0</v>
      </c>
      <c r="AJ120" s="28">
        <f t="shared" si="128"/>
        <v>45224</v>
      </c>
      <c r="AK120" s="24">
        <f t="shared" si="129"/>
        <v>0</v>
      </c>
      <c r="AL120" s="25">
        <f t="shared" si="130"/>
        <v>0</v>
      </c>
      <c r="AM120" s="29">
        <f t="shared" si="131"/>
        <v>0</v>
      </c>
      <c r="AN120" s="28">
        <f t="shared" si="132"/>
        <v>45224</v>
      </c>
      <c r="AO120" s="373">
        <f t="shared" si="101"/>
        <v>0</v>
      </c>
      <c r="AP120" s="374">
        <f t="shared" si="102"/>
        <v>0</v>
      </c>
      <c r="AQ120" s="27">
        <f t="shared" si="103"/>
        <v>0</v>
      </c>
      <c r="AR120" s="25">
        <f t="shared" si="104"/>
        <v>0</v>
      </c>
      <c r="AS120" s="25">
        <f t="shared" si="105"/>
        <v>0</v>
      </c>
      <c r="AT120" s="25">
        <f t="shared" si="106"/>
        <v>0</v>
      </c>
      <c r="AU120" s="29">
        <f t="shared" si="163"/>
        <v>0</v>
      </c>
      <c r="AV120" s="27">
        <f t="shared" si="133"/>
        <v>0</v>
      </c>
      <c r="AW120" s="27">
        <f t="shared" si="134"/>
        <v>0</v>
      </c>
      <c r="AX120" s="27">
        <f t="shared" si="135"/>
        <v>0</v>
      </c>
      <c r="AY120" s="27">
        <f t="shared" si="136"/>
        <v>0</v>
      </c>
      <c r="BH120" s="2">
        <f t="shared" si="137"/>
        <v>0</v>
      </c>
      <c r="BI120" s="298" t="str">
        <f t="shared" si="138"/>
        <v/>
      </c>
      <c r="BJ120" s="298" t="str">
        <f t="shared" si="107"/>
        <v/>
      </c>
      <c r="BQ120" s="4">
        <f t="shared" si="139"/>
        <v>45224</v>
      </c>
      <c r="BR120" s="112">
        <f t="shared" si="140"/>
        <v>0</v>
      </c>
      <c r="BS120" s="112">
        <f t="shared" si="141"/>
        <v>0</v>
      </c>
      <c r="BT120" s="112">
        <f t="shared" si="142"/>
        <v>0</v>
      </c>
      <c r="BU120" s="112">
        <f t="shared" si="143"/>
        <v>0</v>
      </c>
      <c r="BV120" s="112">
        <f t="shared" si="144"/>
        <v>0</v>
      </c>
      <c r="CI120" s="4">
        <f t="shared" si="145"/>
        <v>45224</v>
      </c>
      <c r="CJ120" s="50">
        <f ca="1">IF($BH120=0,IF($CO120="",CJ119+R120,IF('283'!$K$251=1,VLOOKUP($CO120,PerStBal,2)+R120,IF('283'!$K$253=1,(VLOOKUP($CO120,PerPortion,2)*VLOOKUP($CO120,PerStBal,6))+R120,GL!BS120))),0)</f>
        <v>0</v>
      </c>
      <c r="CK120" s="425">
        <f ca="1">IF($BH120=0,IF($CO120="",CK119+T120,IF('283'!$K$251=1,IF(mname2&lt;&gt;"",VLOOKUP($CO120,PerStBal,3)+T120,0),IF('283'!$K$253=1,(VLOOKUP($CO120,PerPortion,3)*VLOOKUP($CO120,PerStBal,6))+T120,GL!BT120))),0)</f>
        <v>0</v>
      </c>
      <c r="CL120" s="425">
        <f ca="1">IF($BH120=0,IF($CO120="",CL119+V120,IF('283'!$K$251=1,IF(mname3&lt;&gt;"",VLOOKUP($CO120,PerStBal,4)+V120,0),IF('283'!$K$253=1,(VLOOKUP($CO120,PerPortion,4)*VLOOKUP($CO120,PerStBal,6))+V120,GL!BU120))),0)</f>
        <v>0</v>
      </c>
      <c r="CM120" s="425">
        <f ca="1">IF($BH120=0,IF($CO120="",CM119+X120,IF('283'!$K$251=1,IF(mname4&lt;&gt;"",VLOOKUP($CO120,PerStBal,5)+X120,0),IF('283'!$K$253=1,(VLOOKUP($CO120,PerPortion,5)*VLOOKUP($CO120,PerStBal,6))+X120,GL!BV120))),0)</f>
        <v>0</v>
      </c>
      <c r="CN120" s="50">
        <f t="shared" ca="1" si="146"/>
        <v>0</v>
      </c>
      <c r="CO120" s="4" t="str">
        <f t="shared" ca="1" si="147"/>
        <v/>
      </c>
      <c r="CP120" s="377">
        <f t="shared" si="108"/>
        <v>0</v>
      </c>
      <c r="DI120" s="4">
        <f t="shared" si="148"/>
        <v>45224</v>
      </c>
      <c r="DJ120" s="112">
        <f t="shared" ca="1" si="149"/>
        <v>0</v>
      </c>
      <c r="DK120" s="112">
        <f t="shared" si="150"/>
        <v>0</v>
      </c>
      <c r="DL120" s="4">
        <f t="shared" si="151"/>
        <v>45224</v>
      </c>
      <c r="DM120" s="112">
        <f t="shared" ca="1" si="152"/>
        <v>0</v>
      </c>
      <c r="DN120" s="112">
        <f t="shared" si="153"/>
        <v>0</v>
      </c>
      <c r="DO120" s="4">
        <f t="shared" si="154"/>
        <v>45224</v>
      </c>
      <c r="DP120" s="112">
        <f t="shared" ca="1" si="155"/>
        <v>0</v>
      </c>
      <c r="DQ120" s="112">
        <f t="shared" si="156"/>
        <v>0</v>
      </c>
      <c r="DR120" s="4">
        <f t="shared" si="157"/>
        <v>45224</v>
      </c>
      <c r="DS120" s="112">
        <f t="shared" ca="1" si="158"/>
        <v>0</v>
      </c>
      <c r="DT120" s="112">
        <f t="shared" si="159"/>
        <v>0</v>
      </c>
      <c r="DU120" s="4">
        <f t="shared" si="160"/>
        <v>45224</v>
      </c>
      <c r="DV120" s="112">
        <f t="shared" si="161"/>
        <v>0</v>
      </c>
      <c r="DW120" s="112">
        <f t="shared" si="162"/>
        <v>0</v>
      </c>
    </row>
    <row r="121" spans="2:127" x14ac:dyDescent="0.25">
      <c r="B121" s="74">
        <f t="shared" si="174"/>
        <v>183</v>
      </c>
      <c r="C121" s="84">
        <f t="shared" si="167"/>
        <v>0</v>
      </c>
      <c r="D121" s="84">
        <f t="shared" si="167"/>
        <v>0</v>
      </c>
      <c r="E121" s="84">
        <f t="shared" si="167"/>
        <v>0</v>
      </c>
      <c r="F121" s="84">
        <f t="shared" si="167"/>
        <v>0</v>
      </c>
      <c r="H121" s="75">
        <f t="shared" si="168"/>
        <v>183</v>
      </c>
      <c r="I121" s="77">
        <f t="shared" si="169"/>
        <v>0</v>
      </c>
      <c r="J121" s="77">
        <f t="shared" si="170"/>
        <v>0</v>
      </c>
      <c r="K121" s="77">
        <f t="shared" si="171"/>
        <v>0</v>
      </c>
      <c r="L121" s="77">
        <f t="shared" si="172"/>
        <v>0</v>
      </c>
      <c r="M121" s="77">
        <f t="shared" si="173"/>
        <v>0</v>
      </c>
      <c r="P121" s="54"/>
      <c r="Q121" s="4">
        <f t="shared" si="109"/>
        <v>45225</v>
      </c>
      <c r="R121" s="24">
        <f t="shared" si="110"/>
        <v>0</v>
      </c>
      <c r="S121" s="25">
        <f t="shared" si="111"/>
        <v>0</v>
      </c>
      <c r="T121" s="24">
        <f t="shared" si="112"/>
        <v>0</v>
      </c>
      <c r="U121" s="25">
        <f t="shared" si="113"/>
        <v>0</v>
      </c>
      <c r="V121" s="24">
        <f t="shared" si="114"/>
        <v>0</v>
      </c>
      <c r="W121" s="25">
        <f t="shared" si="115"/>
        <v>0</v>
      </c>
      <c r="X121" s="24">
        <f t="shared" si="116"/>
        <v>0</v>
      </c>
      <c r="Y121" s="26">
        <f t="shared" si="117"/>
        <v>0</v>
      </c>
      <c r="Z121" s="27">
        <f t="shared" si="118"/>
        <v>0</v>
      </c>
      <c r="AA121" s="28">
        <f t="shared" si="119"/>
        <v>45225</v>
      </c>
      <c r="AB121" s="24">
        <f t="shared" si="120"/>
        <v>0</v>
      </c>
      <c r="AC121" s="25">
        <f t="shared" si="121"/>
        <v>0</v>
      </c>
      <c r="AD121" s="28">
        <f t="shared" si="122"/>
        <v>45225</v>
      </c>
      <c r="AE121" s="24">
        <f t="shared" si="123"/>
        <v>0</v>
      </c>
      <c r="AF121" s="25">
        <f t="shared" si="124"/>
        <v>0</v>
      </c>
      <c r="AG121" s="28">
        <f t="shared" si="125"/>
        <v>45225</v>
      </c>
      <c r="AH121" s="24">
        <f t="shared" si="126"/>
        <v>0</v>
      </c>
      <c r="AI121" s="25">
        <f t="shared" si="127"/>
        <v>0</v>
      </c>
      <c r="AJ121" s="28">
        <f t="shared" si="128"/>
        <v>45225</v>
      </c>
      <c r="AK121" s="24">
        <f t="shared" si="129"/>
        <v>0</v>
      </c>
      <c r="AL121" s="25">
        <f t="shared" si="130"/>
        <v>0</v>
      </c>
      <c r="AM121" s="29">
        <f t="shared" si="131"/>
        <v>0</v>
      </c>
      <c r="AN121" s="28">
        <f t="shared" si="132"/>
        <v>45225</v>
      </c>
      <c r="AO121" s="373">
        <f t="shared" si="101"/>
        <v>0</v>
      </c>
      <c r="AP121" s="374">
        <f t="shared" si="102"/>
        <v>0</v>
      </c>
      <c r="AQ121" s="27">
        <f t="shared" si="103"/>
        <v>0</v>
      </c>
      <c r="AR121" s="25">
        <f t="shared" si="104"/>
        <v>0</v>
      </c>
      <c r="AS121" s="25">
        <f t="shared" si="105"/>
        <v>0</v>
      </c>
      <c r="AT121" s="25">
        <f t="shared" si="106"/>
        <v>0</v>
      </c>
      <c r="AU121" s="29">
        <f t="shared" si="163"/>
        <v>0</v>
      </c>
      <c r="AV121" s="27">
        <f t="shared" si="133"/>
        <v>0</v>
      </c>
      <c r="AW121" s="27">
        <f t="shared" si="134"/>
        <v>0</v>
      </c>
      <c r="AX121" s="27">
        <f t="shared" si="135"/>
        <v>0</v>
      </c>
      <c r="AY121" s="27">
        <f t="shared" si="136"/>
        <v>0</v>
      </c>
      <c r="BH121" s="2">
        <f t="shared" si="137"/>
        <v>0</v>
      </c>
      <c r="BI121" s="298" t="str">
        <f t="shared" si="138"/>
        <v/>
      </c>
      <c r="BJ121" s="298" t="str">
        <f t="shared" si="107"/>
        <v/>
      </c>
      <c r="BQ121" s="4">
        <f t="shared" si="139"/>
        <v>45225</v>
      </c>
      <c r="BR121" s="112">
        <f t="shared" si="140"/>
        <v>0</v>
      </c>
      <c r="BS121" s="112">
        <f t="shared" si="141"/>
        <v>0</v>
      </c>
      <c r="BT121" s="112">
        <f t="shared" si="142"/>
        <v>0</v>
      </c>
      <c r="BU121" s="112">
        <f t="shared" si="143"/>
        <v>0</v>
      </c>
      <c r="BV121" s="112">
        <f t="shared" si="144"/>
        <v>0</v>
      </c>
      <c r="CI121" s="4">
        <f t="shared" si="145"/>
        <v>45225</v>
      </c>
      <c r="CJ121" s="50">
        <f ca="1">IF($BH121=0,IF($CO121="",CJ120+R121,IF('283'!$K$251=1,VLOOKUP($CO121,PerStBal,2)+R121,IF('283'!$K$253=1,(VLOOKUP($CO121,PerPortion,2)*VLOOKUP($CO121,PerStBal,6))+R121,GL!BS121))),0)</f>
        <v>0</v>
      </c>
      <c r="CK121" s="425">
        <f ca="1">IF($BH121=0,IF($CO121="",CK120+T121,IF('283'!$K$251=1,IF(mname2&lt;&gt;"",VLOOKUP($CO121,PerStBal,3)+T121,0),IF('283'!$K$253=1,(VLOOKUP($CO121,PerPortion,3)*VLOOKUP($CO121,PerStBal,6))+T121,GL!BT121))),0)</f>
        <v>0</v>
      </c>
      <c r="CL121" s="425">
        <f ca="1">IF($BH121=0,IF($CO121="",CL120+V121,IF('283'!$K$251=1,IF(mname3&lt;&gt;"",VLOOKUP($CO121,PerStBal,4)+V121,0),IF('283'!$K$253=1,(VLOOKUP($CO121,PerPortion,4)*VLOOKUP($CO121,PerStBal,6))+V121,GL!BU121))),0)</f>
        <v>0</v>
      </c>
      <c r="CM121" s="425">
        <f ca="1">IF($BH121=0,IF($CO121="",CM120+X121,IF('283'!$K$251=1,IF(mname4&lt;&gt;"",VLOOKUP($CO121,PerStBal,5)+X121,0),IF('283'!$K$253=1,(VLOOKUP($CO121,PerPortion,5)*VLOOKUP($CO121,PerStBal,6))+X121,GL!BV121))),0)</f>
        <v>0</v>
      </c>
      <c r="CN121" s="50">
        <f t="shared" ca="1" si="146"/>
        <v>0</v>
      </c>
      <c r="CO121" s="4" t="str">
        <f t="shared" ca="1" si="147"/>
        <v/>
      </c>
      <c r="CP121" s="377">
        <f t="shared" si="108"/>
        <v>0</v>
      </c>
      <c r="DI121" s="4">
        <f t="shared" si="148"/>
        <v>45225</v>
      </c>
      <c r="DJ121" s="112">
        <f t="shared" ca="1" si="149"/>
        <v>0</v>
      </c>
      <c r="DK121" s="112">
        <f t="shared" si="150"/>
        <v>0</v>
      </c>
      <c r="DL121" s="4">
        <f t="shared" si="151"/>
        <v>45225</v>
      </c>
      <c r="DM121" s="112">
        <f t="shared" ca="1" si="152"/>
        <v>0</v>
      </c>
      <c r="DN121" s="112">
        <f t="shared" si="153"/>
        <v>0</v>
      </c>
      <c r="DO121" s="4">
        <f t="shared" si="154"/>
        <v>45225</v>
      </c>
      <c r="DP121" s="112">
        <f t="shared" ca="1" si="155"/>
        <v>0</v>
      </c>
      <c r="DQ121" s="112">
        <f t="shared" si="156"/>
        <v>0</v>
      </c>
      <c r="DR121" s="4">
        <f t="shared" si="157"/>
        <v>45225</v>
      </c>
      <c r="DS121" s="112">
        <f t="shared" ca="1" si="158"/>
        <v>0</v>
      </c>
      <c r="DT121" s="112">
        <f t="shared" si="159"/>
        <v>0</v>
      </c>
      <c r="DU121" s="4">
        <f t="shared" si="160"/>
        <v>45225</v>
      </c>
      <c r="DV121" s="112">
        <f t="shared" si="161"/>
        <v>0</v>
      </c>
      <c r="DW121" s="112">
        <f t="shared" si="162"/>
        <v>0</v>
      </c>
    </row>
    <row r="122" spans="2:127" x14ac:dyDescent="0.25">
      <c r="B122" s="74">
        <f t="shared" si="174"/>
        <v>183</v>
      </c>
      <c r="C122" s="84">
        <f t="shared" si="167"/>
        <v>0</v>
      </c>
      <c r="D122" s="84">
        <f t="shared" si="167"/>
        <v>0</v>
      </c>
      <c r="E122" s="84">
        <f t="shared" si="167"/>
        <v>0</v>
      </c>
      <c r="F122" s="84">
        <f t="shared" si="167"/>
        <v>0</v>
      </c>
      <c r="H122" s="75">
        <f t="shared" si="168"/>
        <v>183</v>
      </c>
      <c r="I122" s="77">
        <f t="shared" si="169"/>
        <v>0</v>
      </c>
      <c r="J122" s="77">
        <f t="shared" si="170"/>
        <v>0</v>
      </c>
      <c r="K122" s="77">
        <f t="shared" si="171"/>
        <v>0</v>
      </c>
      <c r="L122" s="77">
        <f t="shared" si="172"/>
        <v>0</v>
      </c>
      <c r="M122" s="77">
        <f t="shared" si="173"/>
        <v>0</v>
      </c>
      <c r="P122" s="54"/>
      <c r="Q122" s="4">
        <f t="shared" si="109"/>
        <v>45226</v>
      </c>
      <c r="R122" s="24">
        <f t="shared" si="110"/>
        <v>0</v>
      </c>
      <c r="S122" s="25">
        <f t="shared" si="111"/>
        <v>0</v>
      </c>
      <c r="T122" s="24">
        <f t="shared" si="112"/>
        <v>0</v>
      </c>
      <c r="U122" s="25">
        <f t="shared" si="113"/>
        <v>0</v>
      </c>
      <c r="V122" s="24">
        <f t="shared" si="114"/>
        <v>0</v>
      </c>
      <c r="W122" s="25">
        <f t="shared" si="115"/>
        <v>0</v>
      </c>
      <c r="X122" s="24">
        <f t="shared" si="116"/>
        <v>0</v>
      </c>
      <c r="Y122" s="26">
        <f t="shared" si="117"/>
        <v>0</v>
      </c>
      <c r="Z122" s="27">
        <f t="shared" si="118"/>
        <v>0</v>
      </c>
      <c r="AA122" s="28">
        <f t="shared" si="119"/>
        <v>45226</v>
      </c>
      <c r="AB122" s="24">
        <f t="shared" si="120"/>
        <v>0</v>
      </c>
      <c r="AC122" s="25">
        <f t="shared" si="121"/>
        <v>0</v>
      </c>
      <c r="AD122" s="28">
        <f t="shared" si="122"/>
        <v>45226</v>
      </c>
      <c r="AE122" s="24">
        <f t="shared" si="123"/>
        <v>0</v>
      </c>
      <c r="AF122" s="25">
        <f t="shared" si="124"/>
        <v>0</v>
      </c>
      <c r="AG122" s="28">
        <f t="shared" si="125"/>
        <v>45226</v>
      </c>
      <c r="AH122" s="24">
        <f t="shared" si="126"/>
        <v>0</v>
      </c>
      <c r="AI122" s="25">
        <f t="shared" si="127"/>
        <v>0</v>
      </c>
      <c r="AJ122" s="28">
        <f t="shared" si="128"/>
        <v>45226</v>
      </c>
      <c r="AK122" s="24">
        <f t="shared" si="129"/>
        <v>0</v>
      </c>
      <c r="AL122" s="25">
        <f t="shared" si="130"/>
        <v>0</v>
      </c>
      <c r="AM122" s="29">
        <f t="shared" si="131"/>
        <v>0</v>
      </c>
      <c r="AN122" s="28">
        <f t="shared" si="132"/>
        <v>45226</v>
      </c>
      <c r="AO122" s="373">
        <f t="shared" si="101"/>
        <v>0</v>
      </c>
      <c r="AP122" s="374">
        <f t="shared" si="102"/>
        <v>0</v>
      </c>
      <c r="AQ122" s="27">
        <f t="shared" si="103"/>
        <v>0</v>
      </c>
      <c r="AR122" s="25">
        <f t="shared" si="104"/>
        <v>0</v>
      </c>
      <c r="AS122" s="25">
        <f t="shared" si="105"/>
        <v>0</v>
      </c>
      <c r="AT122" s="25">
        <f t="shared" si="106"/>
        <v>0</v>
      </c>
      <c r="AU122" s="29">
        <f t="shared" si="163"/>
        <v>0</v>
      </c>
      <c r="AV122" s="27">
        <f t="shared" si="133"/>
        <v>0</v>
      </c>
      <c r="AW122" s="27">
        <f t="shared" si="134"/>
        <v>0</v>
      </c>
      <c r="AX122" s="27">
        <f t="shared" si="135"/>
        <v>0</v>
      </c>
      <c r="AY122" s="27">
        <f t="shared" si="136"/>
        <v>0</v>
      </c>
      <c r="BH122" s="2">
        <f t="shared" si="137"/>
        <v>0</v>
      </c>
      <c r="BI122" s="298" t="str">
        <f t="shared" si="138"/>
        <v/>
      </c>
      <c r="BJ122" s="298" t="str">
        <f t="shared" si="107"/>
        <v/>
      </c>
      <c r="BQ122" s="4">
        <f t="shared" si="139"/>
        <v>45226</v>
      </c>
      <c r="BR122" s="112">
        <f t="shared" si="140"/>
        <v>0</v>
      </c>
      <c r="BS122" s="112">
        <f t="shared" si="141"/>
        <v>0</v>
      </c>
      <c r="BT122" s="112">
        <f t="shared" si="142"/>
        <v>0</v>
      </c>
      <c r="BU122" s="112">
        <f t="shared" si="143"/>
        <v>0</v>
      </c>
      <c r="BV122" s="112">
        <f t="shared" si="144"/>
        <v>0</v>
      </c>
      <c r="CI122" s="4">
        <f t="shared" si="145"/>
        <v>45226</v>
      </c>
      <c r="CJ122" s="50">
        <f ca="1">IF($BH122=0,IF($CO122="",CJ121+R122,IF('283'!$K$251=1,VLOOKUP($CO122,PerStBal,2)+R122,IF('283'!$K$253=1,(VLOOKUP($CO122,PerPortion,2)*VLOOKUP($CO122,PerStBal,6))+R122,GL!BS122))),0)</f>
        <v>0</v>
      </c>
      <c r="CK122" s="425">
        <f ca="1">IF($BH122=0,IF($CO122="",CK121+T122,IF('283'!$K$251=1,IF(mname2&lt;&gt;"",VLOOKUP($CO122,PerStBal,3)+T122,0),IF('283'!$K$253=1,(VLOOKUP($CO122,PerPortion,3)*VLOOKUP($CO122,PerStBal,6))+T122,GL!BT122))),0)</f>
        <v>0</v>
      </c>
      <c r="CL122" s="425">
        <f ca="1">IF($BH122=0,IF($CO122="",CL121+V122,IF('283'!$K$251=1,IF(mname3&lt;&gt;"",VLOOKUP($CO122,PerStBal,4)+V122,0),IF('283'!$K$253=1,(VLOOKUP($CO122,PerPortion,4)*VLOOKUP($CO122,PerStBal,6))+V122,GL!BU122))),0)</f>
        <v>0</v>
      </c>
      <c r="CM122" s="425">
        <f ca="1">IF($BH122=0,IF($CO122="",CM121+X122,IF('283'!$K$251=1,IF(mname4&lt;&gt;"",VLOOKUP($CO122,PerStBal,5)+X122,0),IF('283'!$K$253=1,(VLOOKUP($CO122,PerPortion,5)*VLOOKUP($CO122,PerStBal,6))+X122,GL!BV122))),0)</f>
        <v>0</v>
      </c>
      <c r="CN122" s="50">
        <f t="shared" ca="1" si="146"/>
        <v>0</v>
      </c>
      <c r="CO122" s="4" t="str">
        <f t="shared" ca="1" si="147"/>
        <v/>
      </c>
      <c r="CP122" s="377">
        <f t="shared" si="108"/>
        <v>0</v>
      </c>
      <c r="DI122" s="4">
        <f t="shared" si="148"/>
        <v>45226</v>
      </c>
      <c r="DJ122" s="112">
        <f t="shared" ca="1" si="149"/>
        <v>0</v>
      </c>
      <c r="DK122" s="112">
        <f t="shared" si="150"/>
        <v>0</v>
      </c>
      <c r="DL122" s="4">
        <f t="shared" si="151"/>
        <v>45226</v>
      </c>
      <c r="DM122" s="112">
        <f t="shared" ca="1" si="152"/>
        <v>0</v>
      </c>
      <c r="DN122" s="112">
        <f t="shared" si="153"/>
        <v>0</v>
      </c>
      <c r="DO122" s="4">
        <f t="shared" si="154"/>
        <v>45226</v>
      </c>
      <c r="DP122" s="112">
        <f t="shared" ca="1" si="155"/>
        <v>0</v>
      </c>
      <c r="DQ122" s="112">
        <f t="shared" si="156"/>
        <v>0</v>
      </c>
      <c r="DR122" s="4">
        <f t="shared" si="157"/>
        <v>45226</v>
      </c>
      <c r="DS122" s="112">
        <f t="shared" ca="1" si="158"/>
        <v>0</v>
      </c>
      <c r="DT122" s="112">
        <f t="shared" si="159"/>
        <v>0</v>
      </c>
      <c r="DU122" s="4">
        <f t="shared" si="160"/>
        <v>45226</v>
      </c>
      <c r="DV122" s="112">
        <f t="shared" si="161"/>
        <v>0</v>
      </c>
      <c r="DW122" s="112">
        <f t="shared" si="162"/>
        <v>0</v>
      </c>
    </row>
    <row r="123" spans="2:127" x14ac:dyDescent="0.25">
      <c r="B123" s="74">
        <f t="shared" si="174"/>
        <v>183</v>
      </c>
      <c r="C123" s="84">
        <f t="shared" si="167"/>
        <v>0</v>
      </c>
      <c r="D123" s="84">
        <f t="shared" si="167"/>
        <v>0</v>
      </c>
      <c r="E123" s="84">
        <f t="shared" si="167"/>
        <v>0</v>
      </c>
      <c r="F123" s="84">
        <f t="shared" si="167"/>
        <v>0</v>
      </c>
      <c r="H123" s="75">
        <f t="shared" si="168"/>
        <v>183</v>
      </c>
      <c r="I123" s="77">
        <f t="shared" si="169"/>
        <v>0</v>
      </c>
      <c r="J123" s="77">
        <f t="shared" si="170"/>
        <v>0</v>
      </c>
      <c r="K123" s="77">
        <f t="shared" si="171"/>
        <v>0</v>
      </c>
      <c r="L123" s="77">
        <f t="shared" si="172"/>
        <v>0</v>
      </c>
      <c r="M123" s="77">
        <f t="shared" si="173"/>
        <v>0</v>
      </c>
      <c r="P123" s="54"/>
      <c r="Q123" s="4">
        <f t="shared" si="109"/>
        <v>45227</v>
      </c>
      <c r="R123" s="24">
        <f t="shared" si="110"/>
        <v>0</v>
      </c>
      <c r="S123" s="25">
        <f t="shared" si="111"/>
        <v>0</v>
      </c>
      <c r="T123" s="24">
        <f t="shared" si="112"/>
        <v>0</v>
      </c>
      <c r="U123" s="25">
        <f t="shared" si="113"/>
        <v>0</v>
      </c>
      <c r="V123" s="24">
        <f t="shared" si="114"/>
        <v>0</v>
      </c>
      <c r="W123" s="25">
        <f t="shared" si="115"/>
        <v>0</v>
      </c>
      <c r="X123" s="24">
        <f t="shared" si="116"/>
        <v>0</v>
      </c>
      <c r="Y123" s="26">
        <f t="shared" si="117"/>
        <v>0</v>
      </c>
      <c r="Z123" s="27">
        <f t="shared" si="118"/>
        <v>0</v>
      </c>
      <c r="AA123" s="28">
        <f t="shared" si="119"/>
        <v>45227</v>
      </c>
      <c r="AB123" s="24">
        <f t="shared" si="120"/>
        <v>0</v>
      </c>
      <c r="AC123" s="25">
        <f t="shared" si="121"/>
        <v>0</v>
      </c>
      <c r="AD123" s="28">
        <f t="shared" si="122"/>
        <v>45227</v>
      </c>
      <c r="AE123" s="24">
        <f t="shared" si="123"/>
        <v>0</v>
      </c>
      <c r="AF123" s="25">
        <f t="shared" si="124"/>
        <v>0</v>
      </c>
      <c r="AG123" s="28">
        <f t="shared" si="125"/>
        <v>45227</v>
      </c>
      <c r="AH123" s="24">
        <f t="shared" si="126"/>
        <v>0</v>
      </c>
      <c r="AI123" s="25">
        <f t="shared" si="127"/>
        <v>0</v>
      </c>
      <c r="AJ123" s="28">
        <f t="shared" si="128"/>
        <v>45227</v>
      </c>
      <c r="AK123" s="24">
        <f t="shared" si="129"/>
        <v>0</v>
      </c>
      <c r="AL123" s="25">
        <f t="shared" si="130"/>
        <v>0</v>
      </c>
      <c r="AM123" s="29">
        <f t="shared" si="131"/>
        <v>0</v>
      </c>
      <c r="AN123" s="28">
        <f t="shared" si="132"/>
        <v>45227</v>
      </c>
      <c r="AO123" s="373">
        <f t="shared" si="101"/>
        <v>0</v>
      </c>
      <c r="AP123" s="374">
        <f t="shared" si="102"/>
        <v>0</v>
      </c>
      <c r="AQ123" s="27">
        <f t="shared" si="103"/>
        <v>0</v>
      </c>
      <c r="AR123" s="25">
        <f t="shared" si="104"/>
        <v>0</v>
      </c>
      <c r="AS123" s="25">
        <f t="shared" si="105"/>
        <v>0</v>
      </c>
      <c r="AT123" s="25">
        <f t="shared" si="106"/>
        <v>0</v>
      </c>
      <c r="AU123" s="29">
        <f t="shared" si="163"/>
        <v>0</v>
      </c>
      <c r="AV123" s="27">
        <f t="shared" si="133"/>
        <v>0</v>
      </c>
      <c r="AW123" s="27">
        <f t="shared" si="134"/>
        <v>0</v>
      </c>
      <c r="AX123" s="27">
        <f t="shared" si="135"/>
        <v>0</v>
      </c>
      <c r="AY123" s="27">
        <f t="shared" si="136"/>
        <v>0</v>
      </c>
      <c r="BH123" s="2">
        <f t="shared" si="137"/>
        <v>0</v>
      </c>
      <c r="BI123" s="298" t="str">
        <f t="shared" si="138"/>
        <v/>
      </c>
      <c r="BJ123" s="298" t="str">
        <f t="shared" si="107"/>
        <v/>
      </c>
      <c r="BQ123" s="4">
        <f t="shared" si="139"/>
        <v>45227</v>
      </c>
      <c r="BR123" s="112">
        <f t="shared" si="140"/>
        <v>0</v>
      </c>
      <c r="BS123" s="112">
        <f t="shared" si="141"/>
        <v>0</v>
      </c>
      <c r="BT123" s="112">
        <f t="shared" si="142"/>
        <v>0</v>
      </c>
      <c r="BU123" s="112">
        <f t="shared" si="143"/>
        <v>0</v>
      </c>
      <c r="BV123" s="112">
        <f t="shared" si="144"/>
        <v>0</v>
      </c>
      <c r="CI123" s="4">
        <f t="shared" si="145"/>
        <v>45227</v>
      </c>
      <c r="CJ123" s="50">
        <f ca="1">IF($BH123=0,IF($CO123="",CJ122+R123,IF('283'!$K$251=1,VLOOKUP($CO123,PerStBal,2)+R123,IF('283'!$K$253=1,(VLOOKUP($CO123,PerPortion,2)*VLOOKUP($CO123,PerStBal,6))+R123,GL!BS123))),0)</f>
        <v>0</v>
      </c>
      <c r="CK123" s="425">
        <f ca="1">IF($BH123=0,IF($CO123="",CK122+T123,IF('283'!$K$251=1,IF(mname2&lt;&gt;"",VLOOKUP($CO123,PerStBal,3)+T123,0),IF('283'!$K$253=1,(VLOOKUP($CO123,PerPortion,3)*VLOOKUP($CO123,PerStBal,6))+T123,GL!BT123))),0)</f>
        <v>0</v>
      </c>
      <c r="CL123" s="425">
        <f ca="1">IF($BH123=0,IF($CO123="",CL122+V123,IF('283'!$K$251=1,IF(mname3&lt;&gt;"",VLOOKUP($CO123,PerStBal,4)+V123,0),IF('283'!$K$253=1,(VLOOKUP($CO123,PerPortion,4)*VLOOKUP($CO123,PerStBal,6))+V123,GL!BU123))),0)</f>
        <v>0</v>
      </c>
      <c r="CM123" s="425">
        <f ca="1">IF($BH123=0,IF($CO123="",CM122+X123,IF('283'!$K$251=1,IF(mname4&lt;&gt;"",VLOOKUP($CO123,PerStBal,5)+X123,0),IF('283'!$K$253=1,(VLOOKUP($CO123,PerPortion,5)*VLOOKUP($CO123,PerStBal,6))+X123,GL!BV123))),0)</f>
        <v>0</v>
      </c>
      <c r="CN123" s="50">
        <f t="shared" ca="1" si="146"/>
        <v>0</v>
      </c>
      <c r="CO123" s="4" t="str">
        <f t="shared" ca="1" si="147"/>
        <v/>
      </c>
      <c r="CP123" s="377">
        <f t="shared" si="108"/>
        <v>0</v>
      </c>
      <c r="DI123" s="4">
        <f t="shared" si="148"/>
        <v>45227</v>
      </c>
      <c r="DJ123" s="112">
        <f t="shared" ca="1" si="149"/>
        <v>0</v>
      </c>
      <c r="DK123" s="112">
        <f t="shared" si="150"/>
        <v>0</v>
      </c>
      <c r="DL123" s="4">
        <f t="shared" si="151"/>
        <v>45227</v>
      </c>
      <c r="DM123" s="112">
        <f t="shared" ca="1" si="152"/>
        <v>0</v>
      </c>
      <c r="DN123" s="112">
        <f t="shared" si="153"/>
        <v>0</v>
      </c>
      <c r="DO123" s="4">
        <f t="shared" si="154"/>
        <v>45227</v>
      </c>
      <c r="DP123" s="112">
        <f t="shared" ca="1" si="155"/>
        <v>0</v>
      </c>
      <c r="DQ123" s="112">
        <f t="shared" si="156"/>
        <v>0</v>
      </c>
      <c r="DR123" s="4">
        <f t="shared" si="157"/>
        <v>45227</v>
      </c>
      <c r="DS123" s="112">
        <f t="shared" ca="1" si="158"/>
        <v>0</v>
      </c>
      <c r="DT123" s="112">
        <f t="shared" si="159"/>
        <v>0</v>
      </c>
      <c r="DU123" s="4">
        <f t="shared" si="160"/>
        <v>45227</v>
      </c>
      <c r="DV123" s="112">
        <f t="shared" si="161"/>
        <v>0</v>
      </c>
      <c r="DW123" s="112">
        <f t="shared" si="162"/>
        <v>0</v>
      </c>
    </row>
    <row r="124" spans="2:127" x14ac:dyDescent="0.25">
      <c r="B124" s="74">
        <f t="shared" si="174"/>
        <v>183</v>
      </c>
      <c r="C124" s="84">
        <f t="shared" si="167"/>
        <v>0</v>
      </c>
      <c r="D124" s="84">
        <f t="shared" si="167"/>
        <v>0</v>
      </c>
      <c r="E124" s="84">
        <f t="shared" si="167"/>
        <v>0</v>
      </c>
      <c r="F124" s="84">
        <f t="shared" si="167"/>
        <v>0</v>
      </c>
      <c r="H124" s="75">
        <f t="shared" si="168"/>
        <v>183</v>
      </c>
      <c r="I124" s="77">
        <f t="shared" si="169"/>
        <v>0</v>
      </c>
      <c r="J124" s="77">
        <f t="shared" si="170"/>
        <v>0</v>
      </c>
      <c r="K124" s="77">
        <f t="shared" si="171"/>
        <v>0</v>
      </c>
      <c r="L124" s="77">
        <f t="shared" si="172"/>
        <v>0</v>
      </c>
      <c r="M124" s="77">
        <f t="shared" si="173"/>
        <v>0</v>
      </c>
      <c r="P124" s="54"/>
      <c r="Q124" s="4">
        <f t="shared" si="109"/>
        <v>45228</v>
      </c>
      <c r="R124" s="24">
        <f t="shared" si="110"/>
        <v>0</v>
      </c>
      <c r="S124" s="25">
        <f t="shared" si="111"/>
        <v>0</v>
      </c>
      <c r="T124" s="24">
        <f t="shared" si="112"/>
        <v>0</v>
      </c>
      <c r="U124" s="25">
        <f t="shared" si="113"/>
        <v>0</v>
      </c>
      <c r="V124" s="24">
        <f t="shared" si="114"/>
        <v>0</v>
      </c>
      <c r="W124" s="25">
        <f t="shared" si="115"/>
        <v>0</v>
      </c>
      <c r="X124" s="24">
        <f t="shared" si="116"/>
        <v>0</v>
      </c>
      <c r="Y124" s="26">
        <f t="shared" si="117"/>
        <v>0</v>
      </c>
      <c r="Z124" s="27">
        <f t="shared" si="118"/>
        <v>0</v>
      </c>
      <c r="AA124" s="28">
        <f t="shared" si="119"/>
        <v>45228</v>
      </c>
      <c r="AB124" s="24">
        <f t="shared" si="120"/>
        <v>0</v>
      </c>
      <c r="AC124" s="25">
        <f t="shared" si="121"/>
        <v>0</v>
      </c>
      <c r="AD124" s="28">
        <f t="shared" si="122"/>
        <v>45228</v>
      </c>
      <c r="AE124" s="24">
        <f t="shared" si="123"/>
        <v>0</v>
      </c>
      <c r="AF124" s="25">
        <f t="shared" si="124"/>
        <v>0</v>
      </c>
      <c r="AG124" s="28">
        <f t="shared" si="125"/>
        <v>45228</v>
      </c>
      <c r="AH124" s="24">
        <f t="shared" si="126"/>
        <v>0</v>
      </c>
      <c r="AI124" s="25">
        <f t="shared" si="127"/>
        <v>0</v>
      </c>
      <c r="AJ124" s="28">
        <f t="shared" si="128"/>
        <v>45228</v>
      </c>
      <c r="AK124" s="24">
        <f t="shared" si="129"/>
        <v>0</v>
      </c>
      <c r="AL124" s="25">
        <f t="shared" si="130"/>
        <v>0</v>
      </c>
      <c r="AM124" s="29">
        <f t="shared" si="131"/>
        <v>0</v>
      </c>
      <c r="AN124" s="28">
        <f t="shared" si="132"/>
        <v>45228</v>
      </c>
      <c r="AO124" s="373">
        <f t="shared" si="101"/>
        <v>0</v>
      </c>
      <c r="AP124" s="374">
        <f t="shared" si="102"/>
        <v>0</v>
      </c>
      <c r="AQ124" s="27">
        <f t="shared" si="103"/>
        <v>0</v>
      </c>
      <c r="AR124" s="25">
        <f t="shared" si="104"/>
        <v>0</v>
      </c>
      <c r="AS124" s="25">
        <f t="shared" si="105"/>
        <v>0</v>
      </c>
      <c r="AT124" s="25">
        <f t="shared" si="106"/>
        <v>0</v>
      </c>
      <c r="AU124" s="29">
        <f t="shared" si="163"/>
        <v>0</v>
      </c>
      <c r="AV124" s="27">
        <f t="shared" si="133"/>
        <v>0</v>
      </c>
      <c r="AW124" s="27">
        <f t="shared" si="134"/>
        <v>0</v>
      </c>
      <c r="AX124" s="27">
        <f t="shared" si="135"/>
        <v>0</v>
      </c>
      <c r="AY124" s="27">
        <f t="shared" si="136"/>
        <v>0</v>
      </c>
      <c r="BH124" s="2">
        <f t="shared" si="137"/>
        <v>0</v>
      </c>
      <c r="BI124" s="298" t="str">
        <f t="shared" si="138"/>
        <v/>
      </c>
      <c r="BJ124" s="298" t="str">
        <f t="shared" si="107"/>
        <v/>
      </c>
      <c r="BQ124" s="4">
        <f t="shared" si="139"/>
        <v>45228</v>
      </c>
      <c r="BR124" s="112">
        <f t="shared" si="140"/>
        <v>0</v>
      </c>
      <c r="BS124" s="112">
        <f t="shared" si="141"/>
        <v>0</v>
      </c>
      <c r="BT124" s="112">
        <f t="shared" si="142"/>
        <v>0</v>
      </c>
      <c r="BU124" s="112">
        <f t="shared" si="143"/>
        <v>0</v>
      </c>
      <c r="BV124" s="112">
        <f t="shared" si="144"/>
        <v>0</v>
      </c>
      <c r="CI124" s="4">
        <f t="shared" si="145"/>
        <v>45228</v>
      </c>
      <c r="CJ124" s="50">
        <f ca="1">IF($BH124=0,IF($CO124="",CJ123+R124,IF('283'!$K$251=1,VLOOKUP($CO124,PerStBal,2)+R124,IF('283'!$K$253=1,(VLOOKUP($CO124,PerPortion,2)*VLOOKUP($CO124,PerStBal,6))+R124,GL!BS124))),0)</f>
        <v>0</v>
      </c>
      <c r="CK124" s="425">
        <f ca="1">IF($BH124=0,IF($CO124="",CK123+T124,IF('283'!$K$251=1,IF(mname2&lt;&gt;"",VLOOKUP($CO124,PerStBal,3)+T124,0),IF('283'!$K$253=1,(VLOOKUP($CO124,PerPortion,3)*VLOOKUP($CO124,PerStBal,6))+T124,GL!BT124))),0)</f>
        <v>0</v>
      </c>
      <c r="CL124" s="425">
        <f ca="1">IF($BH124=0,IF($CO124="",CL123+V124,IF('283'!$K$251=1,IF(mname3&lt;&gt;"",VLOOKUP($CO124,PerStBal,4)+V124,0),IF('283'!$K$253=1,(VLOOKUP($CO124,PerPortion,4)*VLOOKUP($CO124,PerStBal,6))+V124,GL!BU124))),0)</f>
        <v>0</v>
      </c>
      <c r="CM124" s="425">
        <f ca="1">IF($BH124=0,IF($CO124="",CM123+X124,IF('283'!$K$251=1,IF(mname4&lt;&gt;"",VLOOKUP($CO124,PerStBal,5)+X124,0),IF('283'!$K$253=1,(VLOOKUP($CO124,PerPortion,5)*VLOOKUP($CO124,PerStBal,6))+X124,GL!BV124))),0)</f>
        <v>0</v>
      </c>
      <c r="CN124" s="50">
        <f t="shared" ca="1" si="146"/>
        <v>0</v>
      </c>
      <c r="CO124" s="4" t="str">
        <f t="shared" ca="1" si="147"/>
        <v/>
      </c>
      <c r="CP124" s="377">
        <f t="shared" si="108"/>
        <v>0</v>
      </c>
      <c r="DI124" s="4">
        <f t="shared" si="148"/>
        <v>45228</v>
      </c>
      <c r="DJ124" s="112">
        <f t="shared" ca="1" si="149"/>
        <v>0</v>
      </c>
      <c r="DK124" s="112">
        <f t="shared" si="150"/>
        <v>0</v>
      </c>
      <c r="DL124" s="4">
        <f t="shared" si="151"/>
        <v>45228</v>
      </c>
      <c r="DM124" s="112">
        <f t="shared" ca="1" si="152"/>
        <v>0</v>
      </c>
      <c r="DN124" s="112">
        <f t="shared" si="153"/>
        <v>0</v>
      </c>
      <c r="DO124" s="4">
        <f t="shared" si="154"/>
        <v>45228</v>
      </c>
      <c r="DP124" s="112">
        <f t="shared" ca="1" si="155"/>
        <v>0</v>
      </c>
      <c r="DQ124" s="112">
        <f t="shared" si="156"/>
        <v>0</v>
      </c>
      <c r="DR124" s="4">
        <f t="shared" si="157"/>
        <v>45228</v>
      </c>
      <c r="DS124" s="112">
        <f t="shared" ca="1" si="158"/>
        <v>0</v>
      </c>
      <c r="DT124" s="112">
        <f t="shared" si="159"/>
        <v>0</v>
      </c>
      <c r="DU124" s="4">
        <f t="shared" si="160"/>
        <v>45228</v>
      </c>
      <c r="DV124" s="112">
        <f t="shared" si="161"/>
        <v>0</v>
      </c>
      <c r="DW124" s="112">
        <f t="shared" si="162"/>
        <v>0</v>
      </c>
    </row>
    <row r="125" spans="2:127" x14ac:dyDescent="0.25">
      <c r="B125" s="74">
        <f t="shared" si="174"/>
        <v>183</v>
      </c>
      <c r="C125" s="84">
        <f t="shared" si="167"/>
        <v>0</v>
      </c>
      <c r="D125" s="84">
        <f t="shared" si="167"/>
        <v>0</v>
      </c>
      <c r="E125" s="84">
        <f t="shared" si="167"/>
        <v>0</v>
      </c>
      <c r="F125" s="84">
        <f t="shared" si="167"/>
        <v>0</v>
      </c>
      <c r="H125" s="75">
        <f t="shared" si="168"/>
        <v>183</v>
      </c>
      <c r="I125" s="77">
        <f t="shared" si="169"/>
        <v>0</v>
      </c>
      <c r="J125" s="77">
        <f t="shared" si="170"/>
        <v>0</v>
      </c>
      <c r="K125" s="77">
        <f t="shared" si="171"/>
        <v>0</v>
      </c>
      <c r="L125" s="77">
        <f t="shared" si="172"/>
        <v>0</v>
      </c>
      <c r="M125" s="77">
        <f t="shared" si="173"/>
        <v>0</v>
      </c>
      <c r="P125" s="54"/>
      <c r="Q125" s="4">
        <f t="shared" si="109"/>
        <v>45229</v>
      </c>
      <c r="R125" s="24">
        <f t="shared" si="110"/>
        <v>0</v>
      </c>
      <c r="S125" s="25">
        <f t="shared" si="111"/>
        <v>0</v>
      </c>
      <c r="T125" s="24">
        <f t="shared" si="112"/>
        <v>0</v>
      </c>
      <c r="U125" s="25">
        <f t="shared" si="113"/>
        <v>0</v>
      </c>
      <c r="V125" s="24">
        <f t="shared" si="114"/>
        <v>0</v>
      </c>
      <c r="W125" s="25">
        <f t="shared" si="115"/>
        <v>0</v>
      </c>
      <c r="X125" s="24">
        <f t="shared" si="116"/>
        <v>0</v>
      </c>
      <c r="Y125" s="26">
        <f t="shared" si="117"/>
        <v>0</v>
      </c>
      <c r="Z125" s="27">
        <f t="shared" si="118"/>
        <v>0</v>
      </c>
      <c r="AA125" s="28">
        <f t="shared" si="119"/>
        <v>45229</v>
      </c>
      <c r="AB125" s="24">
        <f t="shared" si="120"/>
        <v>0</v>
      </c>
      <c r="AC125" s="25">
        <f t="shared" si="121"/>
        <v>0</v>
      </c>
      <c r="AD125" s="28">
        <f t="shared" si="122"/>
        <v>45229</v>
      </c>
      <c r="AE125" s="24">
        <f t="shared" si="123"/>
        <v>0</v>
      </c>
      <c r="AF125" s="25">
        <f t="shared" si="124"/>
        <v>0</v>
      </c>
      <c r="AG125" s="28">
        <f t="shared" si="125"/>
        <v>45229</v>
      </c>
      <c r="AH125" s="24">
        <f t="shared" si="126"/>
        <v>0</v>
      </c>
      <c r="AI125" s="25">
        <f t="shared" si="127"/>
        <v>0</v>
      </c>
      <c r="AJ125" s="28">
        <f t="shared" si="128"/>
        <v>45229</v>
      </c>
      <c r="AK125" s="24">
        <f t="shared" si="129"/>
        <v>0</v>
      </c>
      <c r="AL125" s="25">
        <f t="shared" si="130"/>
        <v>0</v>
      </c>
      <c r="AM125" s="29">
        <f t="shared" si="131"/>
        <v>0</v>
      </c>
      <c r="AN125" s="28">
        <f t="shared" si="132"/>
        <v>45229</v>
      </c>
      <c r="AO125" s="373">
        <f t="shared" si="101"/>
        <v>0</v>
      </c>
      <c r="AP125" s="374">
        <f t="shared" si="102"/>
        <v>0</v>
      </c>
      <c r="AQ125" s="27">
        <f t="shared" si="103"/>
        <v>0</v>
      </c>
      <c r="AR125" s="25">
        <f t="shared" si="104"/>
        <v>0</v>
      </c>
      <c r="AS125" s="25">
        <f t="shared" si="105"/>
        <v>0</v>
      </c>
      <c r="AT125" s="25">
        <f t="shared" si="106"/>
        <v>0</v>
      </c>
      <c r="AU125" s="29">
        <f t="shared" si="163"/>
        <v>0</v>
      </c>
      <c r="AV125" s="27">
        <f t="shared" si="133"/>
        <v>0</v>
      </c>
      <c r="AW125" s="27">
        <f t="shared" si="134"/>
        <v>0</v>
      </c>
      <c r="AX125" s="27">
        <f t="shared" si="135"/>
        <v>0</v>
      </c>
      <c r="AY125" s="27">
        <f t="shared" si="136"/>
        <v>0</v>
      </c>
      <c r="BH125" s="2">
        <f t="shared" si="137"/>
        <v>0</v>
      </c>
      <c r="BI125" s="298" t="str">
        <f t="shared" si="138"/>
        <v/>
      </c>
      <c r="BJ125" s="298" t="str">
        <f t="shared" si="107"/>
        <v/>
      </c>
      <c r="BQ125" s="4">
        <f t="shared" si="139"/>
        <v>45229</v>
      </c>
      <c r="BR125" s="112">
        <f t="shared" si="140"/>
        <v>0</v>
      </c>
      <c r="BS125" s="112">
        <f t="shared" si="141"/>
        <v>0</v>
      </c>
      <c r="BT125" s="112">
        <f t="shared" si="142"/>
        <v>0</v>
      </c>
      <c r="BU125" s="112">
        <f t="shared" si="143"/>
        <v>0</v>
      </c>
      <c r="BV125" s="112">
        <f t="shared" si="144"/>
        <v>0</v>
      </c>
      <c r="CI125" s="4">
        <f t="shared" si="145"/>
        <v>45229</v>
      </c>
      <c r="CJ125" s="50">
        <f ca="1">IF($BH125=0,IF($CO125="",CJ124+R125,IF('283'!$K$251=1,VLOOKUP($CO125,PerStBal,2)+R125,IF('283'!$K$253=1,(VLOOKUP($CO125,PerPortion,2)*VLOOKUP($CO125,PerStBal,6))+R125,GL!BS125))),0)</f>
        <v>0</v>
      </c>
      <c r="CK125" s="425">
        <f ca="1">IF($BH125=0,IF($CO125="",CK124+T125,IF('283'!$K$251=1,IF(mname2&lt;&gt;"",VLOOKUP($CO125,PerStBal,3)+T125,0),IF('283'!$K$253=1,(VLOOKUP($CO125,PerPortion,3)*VLOOKUP($CO125,PerStBal,6))+T125,GL!BT125))),0)</f>
        <v>0</v>
      </c>
      <c r="CL125" s="425">
        <f ca="1">IF($BH125=0,IF($CO125="",CL124+V125,IF('283'!$K$251=1,IF(mname3&lt;&gt;"",VLOOKUP($CO125,PerStBal,4)+V125,0),IF('283'!$K$253=1,(VLOOKUP($CO125,PerPortion,4)*VLOOKUP($CO125,PerStBal,6))+V125,GL!BU125))),0)</f>
        <v>0</v>
      </c>
      <c r="CM125" s="425">
        <f ca="1">IF($BH125=0,IF($CO125="",CM124+X125,IF('283'!$K$251=1,IF(mname4&lt;&gt;"",VLOOKUP($CO125,PerStBal,5)+X125,0),IF('283'!$K$253=1,(VLOOKUP($CO125,PerPortion,5)*VLOOKUP($CO125,PerStBal,6))+X125,GL!BV125))),0)</f>
        <v>0</v>
      </c>
      <c r="CN125" s="50">
        <f t="shared" ca="1" si="146"/>
        <v>0</v>
      </c>
      <c r="CO125" s="4" t="str">
        <f t="shared" ca="1" si="147"/>
        <v/>
      </c>
      <c r="CP125" s="377">
        <f t="shared" si="108"/>
        <v>0</v>
      </c>
      <c r="DI125" s="4">
        <f t="shared" si="148"/>
        <v>45229</v>
      </c>
      <c r="DJ125" s="112">
        <f t="shared" ca="1" si="149"/>
        <v>0</v>
      </c>
      <c r="DK125" s="112">
        <f t="shared" si="150"/>
        <v>0</v>
      </c>
      <c r="DL125" s="4">
        <f t="shared" si="151"/>
        <v>45229</v>
      </c>
      <c r="DM125" s="112">
        <f t="shared" ca="1" si="152"/>
        <v>0</v>
      </c>
      <c r="DN125" s="112">
        <f t="shared" si="153"/>
        <v>0</v>
      </c>
      <c r="DO125" s="4">
        <f t="shared" si="154"/>
        <v>45229</v>
      </c>
      <c r="DP125" s="112">
        <f t="shared" ca="1" si="155"/>
        <v>0</v>
      </c>
      <c r="DQ125" s="112">
        <f t="shared" si="156"/>
        <v>0</v>
      </c>
      <c r="DR125" s="4">
        <f t="shared" si="157"/>
        <v>45229</v>
      </c>
      <c r="DS125" s="112">
        <f t="shared" ca="1" si="158"/>
        <v>0</v>
      </c>
      <c r="DT125" s="112">
        <f t="shared" si="159"/>
        <v>0</v>
      </c>
      <c r="DU125" s="4">
        <f t="shared" si="160"/>
        <v>45229</v>
      </c>
      <c r="DV125" s="112">
        <f t="shared" si="161"/>
        <v>0</v>
      </c>
      <c r="DW125" s="112">
        <f t="shared" si="162"/>
        <v>0</v>
      </c>
    </row>
    <row r="126" spans="2:127" x14ac:dyDescent="0.25">
      <c r="B126" s="74">
        <f t="shared" si="174"/>
        <v>183</v>
      </c>
      <c r="C126" s="84">
        <f t="shared" si="167"/>
        <v>0</v>
      </c>
      <c r="D126" s="84">
        <f t="shared" si="167"/>
        <v>0</v>
      </c>
      <c r="E126" s="84">
        <f t="shared" si="167"/>
        <v>0</v>
      </c>
      <c r="F126" s="84">
        <f t="shared" si="167"/>
        <v>0</v>
      </c>
      <c r="H126" s="75">
        <f t="shared" si="168"/>
        <v>183</v>
      </c>
      <c r="I126" s="77">
        <f t="shared" si="169"/>
        <v>0</v>
      </c>
      <c r="J126" s="77">
        <f t="shared" si="170"/>
        <v>0</v>
      </c>
      <c r="K126" s="77">
        <f t="shared" si="171"/>
        <v>0</v>
      </c>
      <c r="L126" s="77">
        <f t="shared" si="172"/>
        <v>0</v>
      </c>
      <c r="M126" s="77">
        <f t="shared" si="173"/>
        <v>0</v>
      </c>
      <c r="P126" s="54"/>
      <c r="Q126" s="4">
        <f t="shared" si="109"/>
        <v>45230</v>
      </c>
      <c r="R126" s="24">
        <f t="shared" si="110"/>
        <v>0</v>
      </c>
      <c r="S126" s="25">
        <f t="shared" si="111"/>
        <v>0</v>
      </c>
      <c r="T126" s="24">
        <f t="shared" si="112"/>
        <v>0</v>
      </c>
      <c r="U126" s="25">
        <f t="shared" si="113"/>
        <v>0</v>
      </c>
      <c r="V126" s="24">
        <f t="shared" si="114"/>
        <v>0</v>
      </c>
      <c r="W126" s="25">
        <f t="shared" si="115"/>
        <v>0</v>
      </c>
      <c r="X126" s="24">
        <f t="shared" si="116"/>
        <v>0</v>
      </c>
      <c r="Y126" s="26">
        <f t="shared" si="117"/>
        <v>0</v>
      </c>
      <c r="Z126" s="27">
        <f t="shared" si="118"/>
        <v>0</v>
      </c>
      <c r="AA126" s="28">
        <f t="shared" si="119"/>
        <v>45230</v>
      </c>
      <c r="AB126" s="24">
        <f t="shared" si="120"/>
        <v>0</v>
      </c>
      <c r="AC126" s="25">
        <f t="shared" si="121"/>
        <v>0</v>
      </c>
      <c r="AD126" s="28">
        <f t="shared" si="122"/>
        <v>45230</v>
      </c>
      <c r="AE126" s="24">
        <f t="shared" si="123"/>
        <v>0</v>
      </c>
      <c r="AF126" s="25">
        <f t="shared" si="124"/>
        <v>0</v>
      </c>
      <c r="AG126" s="28">
        <f t="shared" si="125"/>
        <v>45230</v>
      </c>
      <c r="AH126" s="24">
        <f t="shared" si="126"/>
        <v>0</v>
      </c>
      <c r="AI126" s="25">
        <f t="shared" si="127"/>
        <v>0</v>
      </c>
      <c r="AJ126" s="28">
        <f t="shared" si="128"/>
        <v>45230</v>
      </c>
      <c r="AK126" s="24">
        <f t="shared" si="129"/>
        <v>0</v>
      </c>
      <c r="AL126" s="25">
        <f t="shared" si="130"/>
        <v>0</v>
      </c>
      <c r="AM126" s="29">
        <f t="shared" si="131"/>
        <v>0</v>
      </c>
      <c r="AN126" s="28">
        <f t="shared" si="132"/>
        <v>45230</v>
      </c>
      <c r="AO126" s="373">
        <f t="shared" si="101"/>
        <v>0</v>
      </c>
      <c r="AP126" s="374">
        <f t="shared" si="102"/>
        <v>0</v>
      </c>
      <c r="AQ126" s="27">
        <f t="shared" si="103"/>
        <v>0</v>
      </c>
      <c r="AR126" s="25">
        <f t="shared" si="104"/>
        <v>0</v>
      </c>
      <c r="AS126" s="25">
        <f t="shared" si="105"/>
        <v>0</v>
      </c>
      <c r="AT126" s="25">
        <f t="shared" si="106"/>
        <v>0</v>
      </c>
      <c r="AU126" s="29">
        <f t="shared" si="163"/>
        <v>0</v>
      </c>
      <c r="AV126" s="27">
        <f t="shared" si="133"/>
        <v>0</v>
      </c>
      <c r="AW126" s="27">
        <f t="shared" si="134"/>
        <v>0</v>
      </c>
      <c r="AX126" s="27">
        <f t="shared" si="135"/>
        <v>0</v>
      </c>
      <c r="AY126" s="27">
        <f t="shared" si="136"/>
        <v>0</v>
      </c>
      <c r="BH126" s="2">
        <f t="shared" si="137"/>
        <v>0</v>
      </c>
      <c r="BI126" s="298" t="str">
        <f t="shared" si="138"/>
        <v/>
      </c>
      <c r="BJ126" s="298" t="str">
        <f t="shared" si="107"/>
        <v/>
      </c>
      <c r="BQ126" s="4">
        <f t="shared" si="139"/>
        <v>45230</v>
      </c>
      <c r="BR126" s="112">
        <f t="shared" si="140"/>
        <v>0</v>
      </c>
      <c r="BS126" s="112">
        <f t="shared" si="141"/>
        <v>0</v>
      </c>
      <c r="BT126" s="112">
        <f t="shared" si="142"/>
        <v>0</v>
      </c>
      <c r="BU126" s="112">
        <f t="shared" si="143"/>
        <v>0</v>
      </c>
      <c r="BV126" s="112">
        <f t="shared" si="144"/>
        <v>0</v>
      </c>
      <c r="CI126" s="4">
        <f t="shared" si="145"/>
        <v>45230</v>
      </c>
      <c r="CJ126" s="50">
        <f ca="1">IF($BH126=0,IF($CO126="",CJ125+R126,IF('283'!$K$251=1,VLOOKUP($CO126,PerStBal,2)+R126,IF('283'!$K$253=1,(VLOOKUP($CO126,PerPortion,2)*VLOOKUP($CO126,PerStBal,6))+R126,GL!BS126))),0)</f>
        <v>0</v>
      </c>
      <c r="CK126" s="425">
        <f ca="1">IF($BH126=0,IF($CO126="",CK125+T126,IF('283'!$K$251=1,IF(mname2&lt;&gt;"",VLOOKUP($CO126,PerStBal,3)+T126,0),IF('283'!$K$253=1,(VLOOKUP($CO126,PerPortion,3)*VLOOKUP($CO126,PerStBal,6))+T126,GL!BT126))),0)</f>
        <v>0</v>
      </c>
      <c r="CL126" s="425">
        <f ca="1">IF($BH126=0,IF($CO126="",CL125+V126,IF('283'!$K$251=1,IF(mname3&lt;&gt;"",VLOOKUP($CO126,PerStBal,4)+V126,0),IF('283'!$K$253=1,(VLOOKUP($CO126,PerPortion,4)*VLOOKUP($CO126,PerStBal,6))+V126,GL!BU126))),0)</f>
        <v>0</v>
      </c>
      <c r="CM126" s="425">
        <f ca="1">IF($BH126=0,IF($CO126="",CM125+X126,IF('283'!$K$251=1,IF(mname4&lt;&gt;"",VLOOKUP($CO126,PerStBal,5)+X126,0),IF('283'!$K$253=1,(VLOOKUP($CO126,PerPortion,5)*VLOOKUP($CO126,PerStBal,6))+X126,GL!BV126))),0)</f>
        <v>0</v>
      </c>
      <c r="CN126" s="50">
        <f t="shared" ca="1" si="146"/>
        <v>0</v>
      </c>
      <c r="CO126" s="4" t="str">
        <f t="shared" ca="1" si="147"/>
        <v/>
      </c>
      <c r="CP126" s="377">
        <f t="shared" si="108"/>
        <v>0</v>
      </c>
      <c r="DI126" s="4">
        <f t="shared" si="148"/>
        <v>45230</v>
      </c>
      <c r="DJ126" s="112">
        <f t="shared" ca="1" si="149"/>
        <v>0</v>
      </c>
      <c r="DK126" s="112">
        <f t="shared" si="150"/>
        <v>0</v>
      </c>
      <c r="DL126" s="4">
        <f t="shared" si="151"/>
        <v>45230</v>
      </c>
      <c r="DM126" s="112">
        <f t="shared" ca="1" si="152"/>
        <v>0</v>
      </c>
      <c r="DN126" s="112">
        <f t="shared" si="153"/>
        <v>0</v>
      </c>
      <c r="DO126" s="4">
        <f t="shared" si="154"/>
        <v>45230</v>
      </c>
      <c r="DP126" s="112">
        <f t="shared" ca="1" si="155"/>
        <v>0</v>
      </c>
      <c r="DQ126" s="112">
        <f t="shared" si="156"/>
        <v>0</v>
      </c>
      <c r="DR126" s="4">
        <f t="shared" si="157"/>
        <v>45230</v>
      </c>
      <c r="DS126" s="112">
        <f t="shared" ca="1" si="158"/>
        <v>0</v>
      </c>
      <c r="DT126" s="112">
        <f t="shared" si="159"/>
        <v>0</v>
      </c>
      <c r="DU126" s="4">
        <f t="shared" si="160"/>
        <v>45230</v>
      </c>
      <c r="DV126" s="112">
        <f t="shared" si="161"/>
        <v>0</v>
      </c>
      <c r="DW126" s="112">
        <f t="shared" si="162"/>
        <v>0</v>
      </c>
    </row>
    <row r="127" spans="2:127" x14ac:dyDescent="0.25">
      <c r="B127" s="74">
        <f t="shared" si="174"/>
        <v>183</v>
      </c>
      <c r="C127" s="84">
        <f t="shared" si="167"/>
        <v>0</v>
      </c>
      <c r="D127" s="84">
        <f t="shared" si="167"/>
        <v>0</v>
      </c>
      <c r="E127" s="84">
        <f t="shared" si="167"/>
        <v>0</v>
      </c>
      <c r="F127" s="84">
        <f t="shared" si="167"/>
        <v>0</v>
      </c>
      <c r="H127" s="75">
        <f t="shared" si="168"/>
        <v>183</v>
      </c>
      <c r="I127" s="77">
        <f t="shared" si="169"/>
        <v>0</v>
      </c>
      <c r="J127" s="77">
        <f t="shared" si="170"/>
        <v>0</v>
      </c>
      <c r="K127" s="77">
        <f t="shared" si="171"/>
        <v>0</v>
      </c>
      <c r="L127" s="77">
        <f t="shared" si="172"/>
        <v>0</v>
      </c>
      <c r="M127" s="77">
        <f t="shared" si="173"/>
        <v>0</v>
      </c>
      <c r="P127" s="54"/>
      <c r="Q127" s="4">
        <f t="shared" si="109"/>
        <v>45231</v>
      </c>
      <c r="R127" s="24">
        <f t="shared" si="110"/>
        <v>0</v>
      </c>
      <c r="S127" s="25">
        <f t="shared" si="111"/>
        <v>0</v>
      </c>
      <c r="T127" s="24">
        <f t="shared" si="112"/>
        <v>0</v>
      </c>
      <c r="U127" s="25">
        <f t="shared" si="113"/>
        <v>0</v>
      </c>
      <c r="V127" s="24">
        <f t="shared" si="114"/>
        <v>0</v>
      </c>
      <c r="W127" s="25">
        <f t="shared" si="115"/>
        <v>0</v>
      </c>
      <c r="X127" s="24">
        <f t="shared" si="116"/>
        <v>0</v>
      </c>
      <c r="Y127" s="26">
        <f t="shared" si="117"/>
        <v>0</v>
      </c>
      <c r="Z127" s="27">
        <f t="shared" si="118"/>
        <v>0</v>
      </c>
      <c r="AA127" s="28">
        <f t="shared" si="119"/>
        <v>45231</v>
      </c>
      <c r="AB127" s="24">
        <f t="shared" si="120"/>
        <v>0</v>
      </c>
      <c r="AC127" s="25">
        <f t="shared" si="121"/>
        <v>0</v>
      </c>
      <c r="AD127" s="28">
        <f t="shared" si="122"/>
        <v>45231</v>
      </c>
      <c r="AE127" s="24">
        <f t="shared" si="123"/>
        <v>0</v>
      </c>
      <c r="AF127" s="25">
        <f t="shared" si="124"/>
        <v>0</v>
      </c>
      <c r="AG127" s="28">
        <f t="shared" si="125"/>
        <v>45231</v>
      </c>
      <c r="AH127" s="24">
        <f t="shared" si="126"/>
        <v>0</v>
      </c>
      <c r="AI127" s="25">
        <f t="shared" si="127"/>
        <v>0</v>
      </c>
      <c r="AJ127" s="28">
        <f t="shared" si="128"/>
        <v>45231</v>
      </c>
      <c r="AK127" s="24">
        <f t="shared" si="129"/>
        <v>0</v>
      </c>
      <c r="AL127" s="25">
        <f t="shared" si="130"/>
        <v>0</v>
      </c>
      <c r="AM127" s="29">
        <f t="shared" si="131"/>
        <v>0</v>
      </c>
      <c r="AN127" s="28">
        <f t="shared" si="132"/>
        <v>45231</v>
      </c>
      <c r="AO127" s="373">
        <f t="shared" si="101"/>
        <v>0</v>
      </c>
      <c r="AP127" s="374">
        <f t="shared" si="102"/>
        <v>0</v>
      </c>
      <c r="AQ127" s="27">
        <f t="shared" si="103"/>
        <v>0</v>
      </c>
      <c r="AR127" s="25">
        <f t="shared" si="104"/>
        <v>0</v>
      </c>
      <c r="AS127" s="25">
        <f t="shared" si="105"/>
        <v>0</v>
      </c>
      <c r="AT127" s="25">
        <f t="shared" si="106"/>
        <v>0</v>
      </c>
      <c r="AU127" s="29">
        <f t="shared" si="163"/>
        <v>0</v>
      </c>
      <c r="AV127" s="27">
        <f t="shared" si="133"/>
        <v>0</v>
      </c>
      <c r="AW127" s="27">
        <f t="shared" si="134"/>
        <v>0</v>
      </c>
      <c r="AX127" s="27">
        <f t="shared" si="135"/>
        <v>0</v>
      </c>
      <c r="AY127" s="27">
        <f t="shared" si="136"/>
        <v>0</v>
      </c>
      <c r="BH127" s="2">
        <f t="shared" si="137"/>
        <v>0</v>
      </c>
      <c r="BI127" s="298" t="str">
        <f t="shared" si="138"/>
        <v/>
      </c>
      <c r="BJ127" s="298" t="str">
        <f t="shared" si="107"/>
        <v/>
      </c>
      <c r="BQ127" s="4">
        <f t="shared" si="139"/>
        <v>45231</v>
      </c>
      <c r="BR127" s="112">
        <f t="shared" si="140"/>
        <v>0</v>
      </c>
      <c r="BS127" s="112">
        <f t="shared" si="141"/>
        <v>0</v>
      </c>
      <c r="BT127" s="112">
        <f t="shared" si="142"/>
        <v>0</v>
      </c>
      <c r="BU127" s="112">
        <f t="shared" si="143"/>
        <v>0</v>
      </c>
      <c r="BV127" s="112">
        <f t="shared" si="144"/>
        <v>0</v>
      </c>
      <c r="CI127" s="4">
        <f t="shared" si="145"/>
        <v>45231</v>
      </c>
      <c r="CJ127" s="50">
        <f ca="1">IF($BH127=0,IF($CO127="",CJ126+R127,IF('283'!$K$251=1,VLOOKUP($CO127,PerStBal,2)+R127,IF('283'!$K$253=1,(VLOOKUP($CO127,PerPortion,2)*VLOOKUP($CO127,PerStBal,6))+R127,GL!BS127))),0)</f>
        <v>0</v>
      </c>
      <c r="CK127" s="425">
        <f ca="1">IF($BH127=0,IF($CO127="",CK126+T127,IF('283'!$K$251=1,IF(mname2&lt;&gt;"",VLOOKUP($CO127,PerStBal,3)+T127,0),IF('283'!$K$253=1,(VLOOKUP($CO127,PerPortion,3)*VLOOKUP($CO127,PerStBal,6))+T127,GL!BT127))),0)</f>
        <v>0</v>
      </c>
      <c r="CL127" s="425">
        <f ca="1">IF($BH127=0,IF($CO127="",CL126+V127,IF('283'!$K$251=1,IF(mname3&lt;&gt;"",VLOOKUP($CO127,PerStBal,4)+V127,0),IF('283'!$K$253=1,(VLOOKUP($CO127,PerPortion,4)*VLOOKUP($CO127,PerStBal,6))+V127,GL!BU127))),0)</f>
        <v>0</v>
      </c>
      <c r="CM127" s="425">
        <f ca="1">IF($BH127=0,IF($CO127="",CM126+X127,IF('283'!$K$251=1,IF(mname4&lt;&gt;"",VLOOKUP($CO127,PerStBal,5)+X127,0),IF('283'!$K$253=1,(VLOOKUP($CO127,PerPortion,5)*VLOOKUP($CO127,PerStBal,6))+X127,GL!BV127))),0)</f>
        <v>0</v>
      </c>
      <c r="CN127" s="50">
        <f t="shared" ca="1" si="146"/>
        <v>0</v>
      </c>
      <c r="CO127" s="4" t="str">
        <f t="shared" ca="1" si="147"/>
        <v/>
      </c>
      <c r="CP127" s="377">
        <f t="shared" si="108"/>
        <v>0</v>
      </c>
      <c r="DI127" s="4">
        <f t="shared" si="148"/>
        <v>45231</v>
      </c>
      <c r="DJ127" s="112">
        <f t="shared" ca="1" si="149"/>
        <v>0</v>
      </c>
      <c r="DK127" s="112">
        <f t="shared" si="150"/>
        <v>0</v>
      </c>
      <c r="DL127" s="4">
        <f t="shared" si="151"/>
        <v>45231</v>
      </c>
      <c r="DM127" s="112">
        <f t="shared" ca="1" si="152"/>
        <v>0</v>
      </c>
      <c r="DN127" s="112">
        <f t="shared" si="153"/>
        <v>0</v>
      </c>
      <c r="DO127" s="4">
        <f t="shared" si="154"/>
        <v>45231</v>
      </c>
      <c r="DP127" s="112">
        <f t="shared" ca="1" si="155"/>
        <v>0</v>
      </c>
      <c r="DQ127" s="112">
        <f t="shared" si="156"/>
        <v>0</v>
      </c>
      <c r="DR127" s="4">
        <f t="shared" si="157"/>
        <v>45231</v>
      </c>
      <c r="DS127" s="112">
        <f t="shared" ca="1" si="158"/>
        <v>0</v>
      </c>
      <c r="DT127" s="112">
        <f t="shared" si="159"/>
        <v>0</v>
      </c>
      <c r="DU127" s="4">
        <f t="shared" si="160"/>
        <v>45231</v>
      </c>
      <c r="DV127" s="112">
        <f t="shared" si="161"/>
        <v>0</v>
      </c>
      <c r="DW127" s="112">
        <f t="shared" si="162"/>
        <v>0</v>
      </c>
    </row>
    <row r="128" spans="2:127" x14ac:dyDescent="0.25">
      <c r="B128" s="74">
        <f t="shared" si="174"/>
        <v>183</v>
      </c>
      <c r="C128" s="84">
        <f t="shared" si="167"/>
        <v>0</v>
      </c>
      <c r="D128" s="84">
        <f t="shared" si="167"/>
        <v>0</v>
      </c>
      <c r="E128" s="84">
        <f t="shared" si="167"/>
        <v>0</v>
      </c>
      <c r="F128" s="84">
        <f t="shared" si="167"/>
        <v>0</v>
      </c>
      <c r="H128" s="75">
        <f t="shared" si="168"/>
        <v>183</v>
      </c>
      <c r="I128" s="77">
        <f t="shared" si="169"/>
        <v>0</v>
      </c>
      <c r="J128" s="77">
        <f t="shared" si="170"/>
        <v>0</v>
      </c>
      <c r="K128" s="77">
        <f t="shared" si="171"/>
        <v>0</v>
      </c>
      <c r="L128" s="77">
        <f t="shared" si="172"/>
        <v>0</v>
      </c>
      <c r="M128" s="77">
        <f t="shared" si="173"/>
        <v>0</v>
      </c>
      <c r="P128" s="54"/>
      <c r="Q128" s="4">
        <f t="shared" si="109"/>
        <v>45232</v>
      </c>
      <c r="R128" s="24">
        <f t="shared" si="110"/>
        <v>0</v>
      </c>
      <c r="S128" s="25">
        <f t="shared" si="111"/>
        <v>0</v>
      </c>
      <c r="T128" s="24">
        <f t="shared" si="112"/>
        <v>0</v>
      </c>
      <c r="U128" s="25">
        <f t="shared" si="113"/>
        <v>0</v>
      </c>
      <c r="V128" s="24">
        <f t="shared" si="114"/>
        <v>0</v>
      </c>
      <c r="W128" s="25">
        <f t="shared" si="115"/>
        <v>0</v>
      </c>
      <c r="X128" s="24">
        <f t="shared" si="116"/>
        <v>0</v>
      </c>
      <c r="Y128" s="26">
        <f t="shared" si="117"/>
        <v>0</v>
      </c>
      <c r="Z128" s="27">
        <f t="shared" si="118"/>
        <v>0</v>
      </c>
      <c r="AA128" s="28">
        <f t="shared" si="119"/>
        <v>45232</v>
      </c>
      <c r="AB128" s="24">
        <f t="shared" si="120"/>
        <v>0</v>
      </c>
      <c r="AC128" s="25">
        <f t="shared" si="121"/>
        <v>0</v>
      </c>
      <c r="AD128" s="28">
        <f t="shared" si="122"/>
        <v>45232</v>
      </c>
      <c r="AE128" s="24">
        <f t="shared" si="123"/>
        <v>0</v>
      </c>
      <c r="AF128" s="25">
        <f t="shared" si="124"/>
        <v>0</v>
      </c>
      <c r="AG128" s="28">
        <f t="shared" si="125"/>
        <v>45232</v>
      </c>
      <c r="AH128" s="24">
        <f t="shared" si="126"/>
        <v>0</v>
      </c>
      <c r="AI128" s="25">
        <f t="shared" si="127"/>
        <v>0</v>
      </c>
      <c r="AJ128" s="28">
        <f t="shared" si="128"/>
        <v>45232</v>
      </c>
      <c r="AK128" s="24">
        <f t="shared" si="129"/>
        <v>0</v>
      </c>
      <c r="AL128" s="25">
        <f t="shared" si="130"/>
        <v>0</v>
      </c>
      <c r="AM128" s="29">
        <f t="shared" si="131"/>
        <v>0</v>
      </c>
      <c r="AN128" s="28">
        <f t="shared" si="132"/>
        <v>45232</v>
      </c>
      <c r="AO128" s="373">
        <f t="shared" si="101"/>
        <v>0</v>
      </c>
      <c r="AP128" s="374">
        <f t="shared" si="102"/>
        <v>0</v>
      </c>
      <c r="AQ128" s="27">
        <f t="shared" si="103"/>
        <v>0</v>
      </c>
      <c r="AR128" s="25">
        <f t="shared" si="104"/>
        <v>0</v>
      </c>
      <c r="AS128" s="25">
        <f t="shared" si="105"/>
        <v>0</v>
      </c>
      <c r="AT128" s="25">
        <f t="shared" si="106"/>
        <v>0</v>
      </c>
      <c r="AU128" s="29">
        <f t="shared" si="163"/>
        <v>0</v>
      </c>
      <c r="AV128" s="27">
        <f t="shared" si="133"/>
        <v>0</v>
      </c>
      <c r="AW128" s="27">
        <f t="shared" si="134"/>
        <v>0</v>
      </c>
      <c r="AX128" s="27">
        <f t="shared" si="135"/>
        <v>0</v>
      </c>
      <c r="AY128" s="27">
        <f t="shared" si="136"/>
        <v>0</v>
      </c>
      <c r="BH128" s="2">
        <f t="shared" si="137"/>
        <v>0</v>
      </c>
      <c r="BI128" s="298" t="str">
        <f t="shared" si="138"/>
        <v/>
      </c>
      <c r="BJ128" s="298" t="str">
        <f t="shared" si="107"/>
        <v/>
      </c>
      <c r="BQ128" s="4">
        <f t="shared" si="139"/>
        <v>45232</v>
      </c>
      <c r="BR128" s="112">
        <f t="shared" si="140"/>
        <v>0</v>
      </c>
      <c r="BS128" s="112">
        <f t="shared" si="141"/>
        <v>0</v>
      </c>
      <c r="BT128" s="112">
        <f t="shared" si="142"/>
        <v>0</v>
      </c>
      <c r="BU128" s="112">
        <f t="shared" si="143"/>
        <v>0</v>
      </c>
      <c r="BV128" s="112">
        <f t="shared" si="144"/>
        <v>0</v>
      </c>
      <c r="CI128" s="4">
        <f t="shared" si="145"/>
        <v>45232</v>
      </c>
      <c r="CJ128" s="50">
        <f ca="1">IF($BH128=0,IF($CO128="",CJ127+R128,IF('283'!$K$251=1,VLOOKUP($CO128,PerStBal,2)+R128,IF('283'!$K$253=1,(VLOOKUP($CO128,PerPortion,2)*VLOOKUP($CO128,PerStBal,6))+R128,GL!BS128))),0)</f>
        <v>0</v>
      </c>
      <c r="CK128" s="425">
        <f ca="1">IF($BH128=0,IF($CO128="",CK127+T128,IF('283'!$K$251=1,IF(mname2&lt;&gt;"",VLOOKUP($CO128,PerStBal,3)+T128,0),IF('283'!$K$253=1,(VLOOKUP($CO128,PerPortion,3)*VLOOKUP($CO128,PerStBal,6))+T128,GL!BT128))),0)</f>
        <v>0</v>
      </c>
      <c r="CL128" s="425">
        <f ca="1">IF($BH128=0,IF($CO128="",CL127+V128,IF('283'!$K$251=1,IF(mname3&lt;&gt;"",VLOOKUP($CO128,PerStBal,4)+V128,0),IF('283'!$K$253=1,(VLOOKUP($CO128,PerPortion,4)*VLOOKUP($CO128,PerStBal,6))+V128,GL!BU128))),0)</f>
        <v>0</v>
      </c>
      <c r="CM128" s="425">
        <f ca="1">IF($BH128=0,IF($CO128="",CM127+X128,IF('283'!$K$251=1,IF(mname4&lt;&gt;"",VLOOKUP($CO128,PerStBal,5)+X128,0),IF('283'!$K$253=1,(VLOOKUP($CO128,PerPortion,5)*VLOOKUP($CO128,PerStBal,6))+X128,GL!BV128))),0)</f>
        <v>0</v>
      </c>
      <c r="CN128" s="50">
        <f t="shared" ca="1" si="146"/>
        <v>0</v>
      </c>
      <c r="CO128" s="4" t="str">
        <f t="shared" ca="1" si="147"/>
        <v/>
      </c>
      <c r="CP128" s="377">
        <f t="shared" si="108"/>
        <v>0</v>
      </c>
      <c r="DI128" s="4">
        <f t="shared" si="148"/>
        <v>45232</v>
      </c>
      <c r="DJ128" s="112">
        <f t="shared" ca="1" si="149"/>
        <v>0</v>
      </c>
      <c r="DK128" s="112">
        <f t="shared" si="150"/>
        <v>0</v>
      </c>
      <c r="DL128" s="4">
        <f t="shared" si="151"/>
        <v>45232</v>
      </c>
      <c r="DM128" s="112">
        <f t="shared" ca="1" si="152"/>
        <v>0</v>
      </c>
      <c r="DN128" s="112">
        <f t="shared" si="153"/>
        <v>0</v>
      </c>
      <c r="DO128" s="4">
        <f t="shared" si="154"/>
        <v>45232</v>
      </c>
      <c r="DP128" s="112">
        <f t="shared" ca="1" si="155"/>
        <v>0</v>
      </c>
      <c r="DQ128" s="112">
        <f t="shared" si="156"/>
        <v>0</v>
      </c>
      <c r="DR128" s="4">
        <f t="shared" si="157"/>
        <v>45232</v>
      </c>
      <c r="DS128" s="112">
        <f t="shared" ca="1" si="158"/>
        <v>0</v>
      </c>
      <c r="DT128" s="112">
        <f t="shared" si="159"/>
        <v>0</v>
      </c>
      <c r="DU128" s="4">
        <f t="shared" si="160"/>
        <v>45232</v>
      </c>
      <c r="DV128" s="112">
        <f t="shared" si="161"/>
        <v>0</v>
      </c>
      <c r="DW128" s="112">
        <f t="shared" si="162"/>
        <v>0</v>
      </c>
    </row>
    <row r="129" spans="2:127" x14ac:dyDescent="0.25">
      <c r="B129" s="74">
        <f t="shared" si="174"/>
        <v>183</v>
      </c>
      <c r="C129" s="84">
        <f t="shared" si="167"/>
        <v>0</v>
      </c>
      <c r="D129" s="84">
        <f t="shared" si="167"/>
        <v>0</v>
      </c>
      <c r="E129" s="84">
        <f t="shared" si="167"/>
        <v>0</v>
      </c>
      <c r="F129" s="84">
        <f t="shared" si="167"/>
        <v>0</v>
      </c>
      <c r="H129" s="75">
        <f t="shared" si="168"/>
        <v>183</v>
      </c>
      <c r="I129" s="77">
        <f t="shared" si="169"/>
        <v>0</v>
      </c>
      <c r="J129" s="77">
        <f t="shared" si="170"/>
        <v>0</v>
      </c>
      <c r="K129" s="77">
        <f t="shared" si="171"/>
        <v>0</v>
      </c>
      <c r="L129" s="77">
        <f t="shared" si="172"/>
        <v>0</v>
      </c>
      <c r="M129" s="77">
        <f t="shared" si="173"/>
        <v>0</v>
      </c>
      <c r="P129" s="54"/>
      <c r="Q129" s="4">
        <f t="shared" si="109"/>
        <v>45233</v>
      </c>
      <c r="R129" s="24">
        <f t="shared" si="110"/>
        <v>0</v>
      </c>
      <c r="S129" s="25">
        <f t="shared" si="111"/>
        <v>0</v>
      </c>
      <c r="T129" s="24">
        <f t="shared" si="112"/>
        <v>0</v>
      </c>
      <c r="U129" s="25">
        <f t="shared" si="113"/>
        <v>0</v>
      </c>
      <c r="V129" s="24">
        <f t="shared" si="114"/>
        <v>0</v>
      </c>
      <c r="W129" s="25">
        <f t="shared" si="115"/>
        <v>0</v>
      </c>
      <c r="X129" s="24">
        <f t="shared" si="116"/>
        <v>0</v>
      </c>
      <c r="Y129" s="26">
        <f t="shared" si="117"/>
        <v>0</v>
      </c>
      <c r="Z129" s="27">
        <f t="shared" si="118"/>
        <v>0</v>
      </c>
      <c r="AA129" s="28">
        <f t="shared" si="119"/>
        <v>45233</v>
      </c>
      <c r="AB129" s="24">
        <f t="shared" si="120"/>
        <v>0</v>
      </c>
      <c r="AC129" s="25">
        <f t="shared" si="121"/>
        <v>0</v>
      </c>
      <c r="AD129" s="28">
        <f t="shared" si="122"/>
        <v>45233</v>
      </c>
      <c r="AE129" s="24">
        <f t="shared" si="123"/>
        <v>0</v>
      </c>
      <c r="AF129" s="25">
        <f t="shared" si="124"/>
        <v>0</v>
      </c>
      <c r="AG129" s="28">
        <f t="shared" si="125"/>
        <v>45233</v>
      </c>
      <c r="AH129" s="24">
        <f t="shared" si="126"/>
        <v>0</v>
      </c>
      <c r="AI129" s="25">
        <f t="shared" si="127"/>
        <v>0</v>
      </c>
      <c r="AJ129" s="28">
        <f t="shared" si="128"/>
        <v>45233</v>
      </c>
      <c r="AK129" s="24">
        <f t="shared" si="129"/>
        <v>0</v>
      </c>
      <c r="AL129" s="25">
        <f t="shared" si="130"/>
        <v>0</v>
      </c>
      <c r="AM129" s="29">
        <f t="shared" si="131"/>
        <v>0</v>
      </c>
      <c r="AN129" s="28">
        <f t="shared" si="132"/>
        <v>45233</v>
      </c>
      <c r="AO129" s="373">
        <f t="shared" si="101"/>
        <v>0</v>
      </c>
      <c r="AP129" s="374">
        <f t="shared" si="102"/>
        <v>0</v>
      </c>
      <c r="AQ129" s="27">
        <f t="shared" si="103"/>
        <v>0</v>
      </c>
      <c r="AR129" s="25">
        <f t="shared" si="104"/>
        <v>0</v>
      </c>
      <c r="AS129" s="25">
        <f t="shared" si="105"/>
        <v>0</v>
      </c>
      <c r="AT129" s="25">
        <f t="shared" si="106"/>
        <v>0</v>
      </c>
      <c r="AU129" s="29">
        <f t="shared" si="163"/>
        <v>0</v>
      </c>
      <c r="AV129" s="27">
        <f t="shared" si="133"/>
        <v>0</v>
      </c>
      <c r="AW129" s="27">
        <f t="shared" si="134"/>
        <v>0</v>
      </c>
      <c r="AX129" s="27">
        <f t="shared" si="135"/>
        <v>0</v>
      </c>
      <c r="AY129" s="27">
        <f t="shared" si="136"/>
        <v>0</v>
      </c>
      <c r="BH129" s="2">
        <f t="shared" si="137"/>
        <v>0</v>
      </c>
      <c r="BI129" s="298" t="str">
        <f t="shared" si="138"/>
        <v/>
      </c>
      <c r="BJ129" s="298" t="str">
        <f t="shared" si="107"/>
        <v/>
      </c>
      <c r="BQ129" s="4">
        <f t="shared" si="139"/>
        <v>45233</v>
      </c>
      <c r="BR129" s="112">
        <f t="shared" si="140"/>
        <v>0</v>
      </c>
      <c r="BS129" s="112">
        <f t="shared" si="141"/>
        <v>0</v>
      </c>
      <c r="BT129" s="112">
        <f t="shared" si="142"/>
        <v>0</v>
      </c>
      <c r="BU129" s="112">
        <f t="shared" si="143"/>
        <v>0</v>
      </c>
      <c r="BV129" s="112">
        <f t="shared" si="144"/>
        <v>0</v>
      </c>
      <c r="CI129" s="4">
        <f t="shared" si="145"/>
        <v>45233</v>
      </c>
      <c r="CJ129" s="50">
        <f ca="1">IF($BH129=0,IF($CO129="",CJ128+R129,IF('283'!$K$251=1,VLOOKUP($CO129,PerStBal,2)+R129,IF('283'!$K$253=1,(VLOOKUP($CO129,PerPortion,2)*VLOOKUP($CO129,PerStBal,6))+R129,GL!BS129))),0)</f>
        <v>0</v>
      </c>
      <c r="CK129" s="425">
        <f ca="1">IF($BH129=0,IF($CO129="",CK128+T129,IF('283'!$K$251=1,IF(mname2&lt;&gt;"",VLOOKUP($CO129,PerStBal,3)+T129,0),IF('283'!$K$253=1,(VLOOKUP($CO129,PerPortion,3)*VLOOKUP($CO129,PerStBal,6))+T129,GL!BT129))),0)</f>
        <v>0</v>
      </c>
      <c r="CL129" s="425">
        <f ca="1">IF($BH129=0,IF($CO129="",CL128+V129,IF('283'!$K$251=1,IF(mname3&lt;&gt;"",VLOOKUP($CO129,PerStBal,4)+V129,0),IF('283'!$K$253=1,(VLOOKUP($CO129,PerPortion,4)*VLOOKUP($CO129,PerStBal,6))+V129,GL!BU129))),0)</f>
        <v>0</v>
      </c>
      <c r="CM129" s="425">
        <f ca="1">IF($BH129=0,IF($CO129="",CM128+X129,IF('283'!$K$251=1,IF(mname4&lt;&gt;"",VLOOKUP($CO129,PerStBal,5)+X129,0),IF('283'!$K$253=1,(VLOOKUP($CO129,PerPortion,5)*VLOOKUP($CO129,PerStBal,6))+X129,GL!BV129))),0)</f>
        <v>0</v>
      </c>
      <c r="CN129" s="50">
        <f t="shared" ca="1" si="146"/>
        <v>0</v>
      </c>
      <c r="CO129" s="4" t="str">
        <f t="shared" ca="1" si="147"/>
        <v/>
      </c>
      <c r="CP129" s="377">
        <f t="shared" si="108"/>
        <v>0</v>
      </c>
      <c r="DI129" s="4">
        <f t="shared" si="148"/>
        <v>45233</v>
      </c>
      <c r="DJ129" s="112">
        <f t="shared" ca="1" si="149"/>
        <v>0</v>
      </c>
      <c r="DK129" s="112">
        <f t="shared" si="150"/>
        <v>0</v>
      </c>
      <c r="DL129" s="4">
        <f t="shared" si="151"/>
        <v>45233</v>
      </c>
      <c r="DM129" s="112">
        <f t="shared" ca="1" si="152"/>
        <v>0</v>
      </c>
      <c r="DN129" s="112">
        <f t="shared" si="153"/>
        <v>0</v>
      </c>
      <c r="DO129" s="4">
        <f t="shared" si="154"/>
        <v>45233</v>
      </c>
      <c r="DP129" s="112">
        <f t="shared" ca="1" si="155"/>
        <v>0</v>
      </c>
      <c r="DQ129" s="112">
        <f t="shared" si="156"/>
        <v>0</v>
      </c>
      <c r="DR129" s="4">
        <f t="shared" si="157"/>
        <v>45233</v>
      </c>
      <c r="DS129" s="112">
        <f t="shared" ca="1" si="158"/>
        <v>0</v>
      </c>
      <c r="DT129" s="112">
        <f t="shared" si="159"/>
        <v>0</v>
      </c>
      <c r="DU129" s="4">
        <f t="shared" si="160"/>
        <v>45233</v>
      </c>
      <c r="DV129" s="112">
        <f t="shared" si="161"/>
        <v>0</v>
      </c>
      <c r="DW129" s="112">
        <f t="shared" si="162"/>
        <v>0</v>
      </c>
    </row>
    <row r="130" spans="2:127" x14ac:dyDescent="0.25">
      <c r="B130" s="74">
        <f t="shared" si="174"/>
        <v>183</v>
      </c>
      <c r="C130" s="84">
        <f t="shared" si="167"/>
        <v>0</v>
      </c>
      <c r="D130" s="84">
        <f t="shared" si="167"/>
        <v>0</v>
      </c>
      <c r="E130" s="84">
        <f t="shared" si="167"/>
        <v>0</v>
      </c>
      <c r="F130" s="84">
        <f t="shared" si="167"/>
        <v>0</v>
      </c>
      <c r="H130" s="75">
        <f t="shared" si="168"/>
        <v>183</v>
      </c>
      <c r="I130" s="77">
        <f t="shared" si="169"/>
        <v>0</v>
      </c>
      <c r="J130" s="77">
        <f t="shared" si="170"/>
        <v>0</v>
      </c>
      <c r="K130" s="77">
        <f t="shared" si="171"/>
        <v>0</v>
      </c>
      <c r="L130" s="77">
        <f t="shared" si="172"/>
        <v>0</v>
      </c>
      <c r="M130" s="77">
        <f t="shared" si="173"/>
        <v>0</v>
      </c>
      <c r="P130" s="54"/>
      <c r="Q130" s="4">
        <f t="shared" si="109"/>
        <v>45234</v>
      </c>
      <c r="R130" s="24">
        <f t="shared" si="110"/>
        <v>0</v>
      </c>
      <c r="S130" s="25">
        <f t="shared" si="111"/>
        <v>0</v>
      </c>
      <c r="T130" s="24">
        <f t="shared" si="112"/>
        <v>0</v>
      </c>
      <c r="U130" s="25">
        <f t="shared" si="113"/>
        <v>0</v>
      </c>
      <c r="V130" s="24">
        <f t="shared" si="114"/>
        <v>0</v>
      </c>
      <c r="W130" s="25">
        <f t="shared" si="115"/>
        <v>0</v>
      </c>
      <c r="X130" s="24">
        <f t="shared" si="116"/>
        <v>0</v>
      </c>
      <c r="Y130" s="26">
        <f t="shared" si="117"/>
        <v>0</v>
      </c>
      <c r="Z130" s="27">
        <f t="shared" si="118"/>
        <v>0</v>
      </c>
      <c r="AA130" s="28">
        <f t="shared" si="119"/>
        <v>45234</v>
      </c>
      <c r="AB130" s="24">
        <f t="shared" si="120"/>
        <v>0</v>
      </c>
      <c r="AC130" s="25">
        <f t="shared" si="121"/>
        <v>0</v>
      </c>
      <c r="AD130" s="28">
        <f t="shared" si="122"/>
        <v>45234</v>
      </c>
      <c r="AE130" s="24">
        <f t="shared" si="123"/>
        <v>0</v>
      </c>
      <c r="AF130" s="25">
        <f t="shared" si="124"/>
        <v>0</v>
      </c>
      <c r="AG130" s="28">
        <f t="shared" si="125"/>
        <v>45234</v>
      </c>
      <c r="AH130" s="24">
        <f t="shared" si="126"/>
        <v>0</v>
      </c>
      <c r="AI130" s="25">
        <f t="shared" si="127"/>
        <v>0</v>
      </c>
      <c r="AJ130" s="28">
        <f t="shared" si="128"/>
        <v>45234</v>
      </c>
      <c r="AK130" s="24">
        <f t="shared" si="129"/>
        <v>0</v>
      </c>
      <c r="AL130" s="25">
        <f t="shared" si="130"/>
        <v>0</v>
      </c>
      <c r="AM130" s="29">
        <f t="shared" si="131"/>
        <v>0</v>
      </c>
      <c r="AN130" s="28">
        <f t="shared" si="132"/>
        <v>45234</v>
      </c>
      <c r="AO130" s="373">
        <f t="shared" si="101"/>
        <v>0</v>
      </c>
      <c r="AP130" s="374">
        <f t="shared" si="102"/>
        <v>0</v>
      </c>
      <c r="AQ130" s="27">
        <f t="shared" si="103"/>
        <v>0</v>
      </c>
      <c r="AR130" s="25">
        <f t="shared" si="104"/>
        <v>0</v>
      </c>
      <c r="AS130" s="25">
        <f t="shared" si="105"/>
        <v>0</v>
      </c>
      <c r="AT130" s="25">
        <f t="shared" si="106"/>
        <v>0</v>
      </c>
      <c r="AU130" s="29">
        <f t="shared" si="163"/>
        <v>0</v>
      </c>
      <c r="AV130" s="27">
        <f t="shared" si="133"/>
        <v>0</v>
      </c>
      <c r="AW130" s="27">
        <f t="shared" si="134"/>
        <v>0</v>
      </c>
      <c r="AX130" s="27">
        <f t="shared" si="135"/>
        <v>0</v>
      </c>
      <c r="AY130" s="27">
        <f t="shared" si="136"/>
        <v>0</v>
      </c>
      <c r="BH130" s="2">
        <f t="shared" si="137"/>
        <v>0</v>
      </c>
      <c r="BI130" s="298" t="str">
        <f t="shared" si="138"/>
        <v/>
      </c>
      <c r="BJ130" s="298" t="str">
        <f t="shared" si="107"/>
        <v/>
      </c>
      <c r="BQ130" s="4">
        <f t="shared" si="139"/>
        <v>45234</v>
      </c>
      <c r="BR130" s="112">
        <f t="shared" si="140"/>
        <v>0</v>
      </c>
      <c r="BS130" s="112">
        <f t="shared" si="141"/>
        <v>0</v>
      </c>
      <c r="BT130" s="112">
        <f t="shared" si="142"/>
        <v>0</v>
      </c>
      <c r="BU130" s="112">
        <f t="shared" si="143"/>
        <v>0</v>
      </c>
      <c r="BV130" s="112">
        <f t="shared" si="144"/>
        <v>0</v>
      </c>
      <c r="CI130" s="4">
        <f t="shared" si="145"/>
        <v>45234</v>
      </c>
      <c r="CJ130" s="50">
        <f ca="1">IF($BH130=0,IF($CO130="",CJ129+R130,IF('283'!$K$251=1,VLOOKUP($CO130,PerStBal,2)+R130,IF('283'!$K$253=1,(VLOOKUP($CO130,PerPortion,2)*VLOOKUP($CO130,PerStBal,6))+R130,GL!BS130))),0)</f>
        <v>0</v>
      </c>
      <c r="CK130" s="425">
        <f ca="1">IF($BH130=0,IF($CO130="",CK129+T130,IF('283'!$K$251=1,IF(mname2&lt;&gt;"",VLOOKUP($CO130,PerStBal,3)+T130,0),IF('283'!$K$253=1,(VLOOKUP($CO130,PerPortion,3)*VLOOKUP($CO130,PerStBal,6))+T130,GL!BT130))),0)</f>
        <v>0</v>
      </c>
      <c r="CL130" s="425">
        <f ca="1">IF($BH130=0,IF($CO130="",CL129+V130,IF('283'!$K$251=1,IF(mname3&lt;&gt;"",VLOOKUP($CO130,PerStBal,4)+V130,0),IF('283'!$K$253=1,(VLOOKUP($CO130,PerPortion,4)*VLOOKUP($CO130,PerStBal,6))+V130,GL!BU130))),0)</f>
        <v>0</v>
      </c>
      <c r="CM130" s="425">
        <f ca="1">IF($BH130=0,IF($CO130="",CM129+X130,IF('283'!$K$251=1,IF(mname4&lt;&gt;"",VLOOKUP($CO130,PerStBal,5)+X130,0),IF('283'!$K$253=1,(VLOOKUP($CO130,PerPortion,5)*VLOOKUP($CO130,PerStBal,6))+X130,GL!BV130))),0)</f>
        <v>0</v>
      </c>
      <c r="CN130" s="50">
        <f t="shared" ca="1" si="146"/>
        <v>0</v>
      </c>
      <c r="CO130" s="4" t="str">
        <f t="shared" ca="1" si="147"/>
        <v/>
      </c>
      <c r="CP130" s="377">
        <f t="shared" si="108"/>
        <v>0</v>
      </c>
      <c r="DI130" s="4">
        <f t="shared" si="148"/>
        <v>45234</v>
      </c>
      <c r="DJ130" s="112">
        <f t="shared" ca="1" si="149"/>
        <v>0</v>
      </c>
      <c r="DK130" s="112">
        <f t="shared" si="150"/>
        <v>0</v>
      </c>
      <c r="DL130" s="4">
        <f t="shared" si="151"/>
        <v>45234</v>
      </c>
      <c r="DM130" s="112">
        <f t="shared" ca="1" si="152"/>
        <v>0</v>
      </c>
      <c r="DN130" s="112">
        <f t="shared" si="153"/>
        <v>0</v>
      </c>
      <c r="DO130" s="4">
        <f t="shared" si="154"/>
        <v>45234</v>
      </c>
      <c r="DP130" s="112">
        <f t="shared" ca="1" si="155"/>
        <v>0</v>
      </c>
      <c r="DQ130" s="112">
        <f t="shared" si="156"/>
        <v>0</v>
      </c>
      <c r="DR130" s="4">
        <f t="shared" si="157"/>
        <v>45234</v>
      </c>
      <c r="DS130" s="112">
        <f t="shared" ca="1" si="158"/>
        <v>0</v>
      </c>
      <c r="DT130" s="112">
        <f t="shared" si="159"/>
        <v>0</v>
      </c>
      <c r="DU130" s="4">
        <f t="shared" si="160"/>
        <v>45234</v>
      </c>
      <c r="DV130" s="112">
        <f t="shared" si="161"/>
        <v>0</v>
      </c>
      <c r="DW130" s="112">
        <f t="shared" si="162"/>
        <v>0</v>
      </c>
    </row>
    <row r="131" spans="2:127" x14ac:dyDescent="0.25">
      <c r="B131" s="74">
        <f t="shared" si="174"/>
        <v>183</v>
      </c>
      <c r="C131" s="84">
        <f t="shared" si="167"/>
        <v>0</v>
      </c>
      <c r="D131" s="84">
        <f t="shared" si="167"/>
        <v>0</v>
      </c>
      <c r="E131" s="84">
        <f t="shared" si="167"/>
        <v>0</v>
      </c>
      <c r="F131" s="84">
        <f t="shared" si="167"/>
        <v>0</v>
      </c>
      <c r="H131" s="75">
        <f t="shared" si="168"/>
        <v>183</v>
      </c>
      <c r="I131" s="77">
        <f t="shared" si="169"/>
        <v>0</v>
      </c>
      <c r="J131" s="77">
        <f t="shared" si="170"/>
        <v>0</v>
      </c>
      <c r="K131" s="77">
        <f t="shared" si="171"/>
        <v>0</v>
      </c>
      <c r="L131" s="77">
        <f t="shared" si="172"/>
        <v>0</v>
      </c>
      <c r="M131" s="77">
        <f t="shared" si="173"/>
        <v>0</v>
      </c>
      <c r="P131" s="54"/>
      <c r="Q131" s="4">
        <f t="shared" si="109"/>
        <v>45235</v>
      </c>
      <c r="R131" s="24">
        <f t="shared" si="110"/>
        <v>0</v>
      </c>
      <c r="S131" s="25">
        <f t="shared" si="111"/>
        <v>0</v>
      </c>
      <c r="T131" s="24">
        <f t="shared" si="112"/>
        <v>0</v>
      </c>
      <c r="U131" s="25">
        <f t="shared" si="113"/>
        <v>0</v>
      </c>
      <c r="V131" s="24">
        <f t="shared" si="114"/>
        <v>0</v>
      </c>
      <c r="W131" s="25">
        <f t="shared" si="115"/>
        <v>0</v>
      </c>
      <c r="X131" s="24">
        <f t="shared" si="116"/>
        <v>0</v>
      </c>
      <c r="Y131" s="26">
        <f t="shared" si="117"/>
        <v>0</v>
      </c>
      <c r="Z131" s="27">
        <f t="shared" si="118"/>
        <v>0</v>
      </c>
      <c r="AA131" s="28">
        <f t="shared" si="119"/>
        <v>45235</v>
      </c>
      <c r="AB131" s="24">
        <f t="shared" si="120"/>
        <v>0</v>
      </c>
      <c r="AC131" s="25">
        <f t="shared" si="121"/>
        <v>0</v>
      </c>
      <c r="AD131" s="28">
        <f t="shared" si="122"/>
        <v>45235</v>
      </c>
      <c r="AE131" s="24">
        <f t="shared" si="123"/>
        <v>0</v>
      </c>
      <c r="AF131" s="25">
        <f t="shared" si="124"/>
        <v>0</v>
      </c>
      <c r="AG131" s="28">
        <f t="shared" si="125"/>
        <v>45235</v>
      </c>
      <c r="AH131" s="24">
        <f t="shared" si="126"/>
        <v>0</v>
      </c>
      <c r="AI131" s="25">
        <f t="shared" si="127"/>
        <v>0</v>
      </c>
      <c r="AJ131" s="28">
        <f t="shared" si="128"/>
        <v>45235</v>
      </c>
      <c r="AK131" s="24">
        <f t="shared" si="129"/>
        <v>0</v>
      </c>
      <c r="AL131" s="25">
        <f t="shared" si="130"/>
        <v>0</v>
      </c>
      <c r="AM131" s="29">
        <f t="shared" si="131"/>
        <v>0</v>
      </c>
      <c r="AN131" s="28">
        <f t="shared" si="132"/>
        <v>45235</v>
      </c>
      <c r="AO131" s="373">
        <f t="shared" si="101"/>
        <v>0</v>
      </c>
      <c r="AP131" s="374">
        <f t="shared" si="102"/>
        <v>0</v>
      </c>
      <c r="AQ131" s="27">
        <f t="shared" si="103"/>
        <v>0</v>
      </c>
      <c r="AR131" s="25">
        <f t="shared" si="104"/>
        <v>0</v>
      </c>
      <c r="AS131" s="25">
        <f t="shared" si="105"/>
        <v>0</v>
      </c>
      <c r="AT131" s="25">
        <f t="shared" si="106"/>
        <v>0</v>
      </c>
      <c r="AU131" s="29">
        <f t="shared" si="163"/>
        <v>0</v>
      </c>
      <c r="AV131" s="27">
        <f t="shared" si="133"/>
        <v>0</v>
      </c>
      <c r="AW131" s="27">
        <f t="shared" si="134"/>
        <v>0</v>
      </c>
      <c r="AX131" s="27">
        <f t="shared" si="135"/>
        <v>0</v>
      </c>
      <c r="AY131" s="27">
        <f t="shared" si="136"/>
        <v>0</v>
      </c>
      <c r="BH131" s="2">
        <f t="shared" si="137"/>
        <v>0</v>
      </c>
      <c r="BI131" s="298" t="str">
        <f t="shared" si="138"/>
        <v/>
      </c>
      <c r="BJ131" s="298" t="str">
        <f t="shared" si="107"/>
        <v/>
      </c>
      <c r="BQ131" s="4">
        <f t="shared" si="139"/>
        <v>45235</v>
      </c>
      <c r="BR131" s="112">
        <f t="shared" si="140"/>
        <v>0</v>
      </c>
      <c r="BS131" s="112">
        <f t="shared" si="141"/>
        <v>0</v>
      </c>
      <c r="BT131" s="112">
        <f t="shared" si="142"/>
        <v>0</v>
      </c>
      <c r="BU131" s="112">
        <f t="shared" si="143"/>
        <v>0</v>
      </c>
      <c r="BV131" s="112">
        <f t="shared" si="144"/>
        <v>0</v>
      </c>
      <c r="CI131" s="4">
        <f t="shared" si="145"/>
        <v>45235</v>
      </c>
      <c r="CJ131" s="50">
        <f ca="1">IF($BH131=0,IF($CO131="",CJ130+R131,IF('283'!$K$251=1,VLOOKUP($CO131,PerStBal,2)+R131,IF('283'!$K$253=1,(VLOOKUP($CO131,PerPortion,2)*VLOOKUP($CO131,PerStBal,6))+R131,GL!BS131))),0)</f>
        <v>0</v>
      </c>
      <c r="CK131" s="425">
        <f ca="1">IF($BH131=0,IF($CO131="",CK130+T131,IF('283'!$K$251=1,IF(mname2&lt;&gt;"",VLOOKUP($CO131,PerStBal,3)+T131,0),IF('283'!$K$253=1,(VLOOKUP($CO131,PerPortion,3)*VLOOKUP($CO131,PerStBal,6))+T131,GL!BT131))),0)</f>
        <v>0</v>
      </c>
      <c r="CL131" s="425">
        <f ca="1">IF($BH131=0,IF($CO131="",CL130+V131,IF('283'!$K$251=1,IF(mname3&lt;&gt;"",VLOOKUP($CO131,PerStBal,4)+V131,0),IF('283'!$K$253=1,(VLOOKUP($CO131,PerPortion,4)*VLOOKUP($CO131,PerStBal,6))+V131,GL!BU131))),0)</f>
        <v>0</v>
      </c>
      <c r="CM131" s="425">
        <f ca="1">IF($BH131=0,IF($CO131="",CM130+X131,IF('283'!$K$251=1,IF(mname4&lt;&gt;"",VLOOKUP($CO131,PerStBal,5)+X131,0),IF('283'!$K$253=1,(VLOOKUP($CO131,PerPortion,5)*VLOOKUP($CO131,PerStBal,6))+X131,GL!BV131))),0)</f>
        <v>0</v>
      </c>
      <c r="CN131" s="50">
        <f t="shared" ca="1" si="146"/>
        <v>0</v>
      </c>
      <c r="CO131" s="4" t="str">
        <f t="shared" ca="1" si="147"/>
        <v/>
      </c>
      <c r="CP131" s="377">
        <f t="shared" si="108"/>
        <v>0</v>
      </c>
      <c r="DI131" s="4">
        <f t="shared" si="148"/>
        <v>45235</v>
      </c>
      <c r="DJ131" s="112">
        <f t="shared" ca="1" si="149"/>
        <v>0</v>
      </c>
      <c r="DK131" s="112">
        <f t="shared" si="150"/>
        <v>0</v>
      </c>
      <c r="DL131" s="4">
        <f t="shared" si="151"/>
        <v>45235</v>
      </c>
      <c r="DM131" s="112">
        <f t="shared" ca="1" si="152"/>
        <v>0</v>
      </c>
      <c r="DN131" s="112">
        <f t="shared" si="153"/>
        <v>0</v>
      </c>
      <c r="DO131" s="4">
        <f t="shared" si="154"/>
        <v>45235</v>
      </c>
      <c r="DP131" s="112">
        <f t="shared" ca="1" si="155"/>
        <v>0</v>
      </c>
      <c r="DQ131" s="112">
        <f t="shared" si="156"/>
        <v>0</v>
      </c>
      <c r="DR131" s="4">
        <f t="shared" si="157"/>
        <v>45235</v>
      </c>
      <c r="DS131" s="112">
        <f t="shared" ca="1" si="158"/>
        <v>0</v>
      </c>
      <c r="DT131" s="112">
        <f t="shared" si="159"/>
        <v>0</v>
      </c>
      <c r="DU131" s="4">
        <f t="shared" si="160"/>
        <v>45235</v>
      </c>
      <c r="DV131" s="112">
        <f t="shared" si="161"/>
        <v>0</v>
      </c>
      <c r="DW131" s="112">
        <f t="shared" si="162"/>
        <v>0</v>
      </c>
    </row>
    <row r="132" spans="2:127" x14ac:dyDescent="0.25">
      <c r="B132" s="74">
        <f t="shared" si="174"/>
        <v>183</v>
      </c>
      <c r="C132" s="84">
        <f t="shared" si="167"/>
        <v>0</v>
      </c>
      <c r="D132" s="84">
        <f t="shared" si="167"/>
        <v>0</v>
      </c>
      <c r="E132" s="84">
        <f t="shared" si="167"/>
        <v>0</v>
      </c>
      <c r="F132" s="84">
        <f t="shared" si="167"/>
        <v>0</v>
      </c>
      <c r="H132" s="75">
        <f t="shared" si="168"/>
        <v>183</v>
      </c>
      <c r="I132" s="77">
        <f t="shared" si="169"/>
        <v>0</v>
      </c>
      <c r="J132" s="77">
        <f t="shared" si="170"/>
        <v>0</v>
      </c>
      <c r="K132" s="77">
        <f t="shared" si="171"/>
        <v>0</v>
      </c>
      <c r="L132" s="77">
        <f t="shared" si="172"/>
        <v>0</v>
      </c>
      <c r="M132" s="77">
        <f t="shared" si="173"/>
        <v>0</v>
      </c>
      <c r="P132" s="54"/>
      <c r="Q132" s="4">
        <f t="shared" si="109"/>
        <v>45236</v>
      </c>
      <c r="R132" s="24">
        <f t="shared" si="110"/>
        <v>0</v>
      </c>
      <c r="S132" s="25">
        <f t="shared" si="111"/>
        <v>0</v>
      </c>
      <c r="T132" s="24">
        <f t="shared" si="112"/>
        <v>0</v>
      </c>
      <c r="U132" s="25">
        <f t="shared" si="113"/>
        <v>0</v>
      </c>
      <c r="V132" s="24">
        <f t="shared" si="114"/>
        <v>0</v>
      </c>
      <c r="W132" s="25">
        <f t="shared" si="115"/>
        <v>0</v>
      </c>
      <c r="X132" s="24">
        <f t="shared" si="116"/>
        <v>0</v>
      </c>
      <c r="Y132" s="26">
        <f t="shared" si="117"/>
        <v>0</v>
      </c>
      <c r="Z132" s="27">
        <f t="shared" si="118"/>
        <v>0</v>
      </c>
      <c r="AA132" s="28">
        <f t="shared" si="119"/>
        <v>45236</v>
      </c>
      <c r="AB132" s="24">
        <f t="shared" si="120"/>
        <v>0</v>
      </c>
      <c r="AC132" s="25">
        <f t="shared" si="121"/>
        <v>0</v>
      </c>
      <c r="AD132" s="28">
        <f t="shared" si="122"/>
        <v>45236</v>
      </c>
      <c r="AE132" s="24">
        <f t="shared" si="123"/>
        <v>0</v>
      </c>
      <c r="AF132" s="25">
        <f t="shared" si="124"/>
        <v>0</v>
      </c>
      <c r="AG132" s="28">
        <f t="shared" si="125"/>
        <v>45236</v>
      </c>
      <c r="AH132" s="24">
        <f t="shared" si="126"/>
        <v>0</v>
      </c>
      <c r="AI132" s="25">
        <f t="shared" si="127"/>
        <v>0</v>
      </c>
      <c r="AJ132" s="28">
        <f t="shared" si="128"/>
        <v>45236</v>
      </c>
      <c r="AK132" s="24">
        <f t="shared" si="129"/>
        <v>0</v>
      </c>
      <c r="AL132" s="25">
        <f t="shared" si="130"/>
        <v>0</v>
      </c>
      <c r="AM132" s="29">
        <f t="shared" si="131"/>
        <v>0</v>
      </c>
      <c r="AN132" s="28">
        <f t="shared" si="132"/>
        <v>45236</v>
      </c>
      <c r="AO132" s="373">
        <f t="shared" ref="AO132:AO195" si="175">IF(AND(UseSeg="Yes",AP132=0),0,SUM(AB132,AE132,AH132,AK132))</f>
        <v>0</v>
      </c>
      <c r="AP132" s="374">
        <f t="shared" ref="AP132:AP195" si="176">SUM(AC132,AF132,AI132,AL132:AM132)</f>
        <v>0</v>
      </c>
      <c r="AQ132" s="27">
        <f t="shared" ref="AQ132:AQ195" si="177">AB132+AC132</f>
        <v>0</v>
      </c>
      <c r="AR132" s="25">
        <f t="shared" ref="AR132:AR195" si="178">AE132+AF132</f>
        <v>0</v>
      </c>
      <c r="AS132" s="25">
        <f t="shared" ref="AS132:AS195" si="179">AH132+AI132</f>
        <v>0</v>
      </c>
      <c r="AT132" s="25">
        <f t="shared" ref="AT132:AT195" si="180">AK132+AL132</f>
        <v>0</v>
      </c>
      <c r="AU132" s="29">
        <f t="shared" si="163"/>
        <v>0</v>
      </c>
      <c r="AV132" s="27">
        <f t="shared" si="133"/>
        <v>0</v>
      </c>
      <c r="AW132" s="27">
        <f t="shared" si="134"/>
        <v>0</v>
      </c>
      <c r="AX132" s="27">
        <f t="shared" si="135"/>
        <v>0</v>
      </c>
      <c r="AY132" s="27">
        <f t="shared" si="136"/>
        <v>0</v>
      </c>
      <c r="BH132" s="2">
        <f t="shared" si="137"/>
        <v>0</v>
      </c>
      <c r="BI132" s="298" t="str">
        <f t="shared" si="138"/>
        <v/>
      </c>
      <c r="BJ132" s="298" t="str">
        <f t="shared" ref="BJ132:BJ195" si="181">IF(UseSeg="Yes",IF(AND(BH132=1,ROUND(AP133,1)&gt;0),AN132,""),"")</f>
        <v/>
      </c>
      <c r="BQ132" s="4">
        <f t="shared" si="139"/>
        <v>45236</v>
      </c>
      <c r="BR132" s="112">
        <f t="shared" si="140"/>
        <v>0</v>
      </c>
      <c r="BS132" s="112">
        <f t="shared" si="141"/>
        <v>0</v>
      </c>
      <c r="BT132" s="112">
        <f t="shared" si="142"/>
        <v>0</v>
      </c>
      <c r="BU132" s="112">
        <f t="shared" si="143"/>
        <v>0</v>
      </c>
      <c r="BV132" s="112">
        <f t="shared" si="144"/>
        <v>0</v>
      </c>
      <c r="CI132" s="4">
        <f t="shared" si="145"/>
        <v>45236</v>
      </c>
      <c r="CJ132" s="50">
        <f ca="1">IF($BH132=0,IF($CO132="",CJ131+R132,IF('283'!$K$251=1,VLOOKUP($CO132,PerStBal,2)+R132,IF('283'!$K$253=1,(VLOOKUP($CO132,PerPortion,2)*VLOOKUP($CO132,PerStBal,6))+R132,GL!BS132))),0)</f>
        <v>0</v>
      </c>
      <c r="CK132" s="425">
        <f ca="1">IF($BH132=0,IF($CO132="",CK131+T132,IF('283'!$K$251=1,IF(mname2&lt;&gt;"",VLOOKUP($CO132,PerStBal,3)+T132,0),IF('283'!$K$253=1,(VLOOKUP($CO132,PerPortion,3)*VLOOKUP($CO132,PerStBal,6))+T132,GL!BT132))),0)</f>
        <v>0</v>
      </c>
      <c r="CL132" s="425">
        <f ca="1">IF($BH132=0,IF($CO132="",CL131+V132,IF('283'!$K$251=1,IF(mname3&lt;&gt;"",VLOOKUP($CO132,PerStBal,4)+V132,0),IF('283'!$K$253=1,(VLOOKUP($CO132,PerPortion,4)*VLOOKUP($CO132,PerStBal,6))+V132,GL!BU132))),0)</f>
        <v>0</v>
      </c>
      <c r="CM132" s="425">
        <f ca="1">IF($BH132=0,IF($CO132="",CM131+X132,IF('283'!$K$251=1,IF(mname4&lt;&gt;"",VLOOKUP($CO132,PerStBal,5)+X132,0),IF('283'!$K$253=1,(VLOOKUP($CO132,PerPortion,5)*VLOOKUP($CO132,PerStBal,6))+X132,GL!BV132))),0)</f>
        <v>0</v>
      </c>
      <c r="CN132" s="50">
        <f t="shared" ca="1" si="146"/>
        <v>0</v>
      </c>
      <c r="CO132" s="4" t="str">
        <f t="shared" ca="1" si="147"/>
        <v/>
      </c>
      <c r="CP132" s="377">
        <f t="shared" ref="CP132:CP195" si="182">IF(AND(UseSeg="Yes",AP132=0),0,SUM(CJ132:CM132))</f>
        <v>0</v>
      </c>
      <c r="DI132" s="4">
        <f t="shared" si="148"/>
        <v>45236</v>
      </c>
      <c r="DJ132" s="112">
        <f t="shared" ca="1" si="149"/>
        <v>0</v>
      </c>
      <c r="DK132" s="112">
        <f t="shared" si="150"/>
        <v>0</v>
      </c>
      <c r="DL132" s="4">
        <f t="shared" si="151"/>
        <v>45236</v>
      </c>
      <c r="DM132" s="112">
        <f t="shared" ca="1" si="152"/>
        <v>0</v>
      </c>
      <c r="DN132" s="112">
        <f t="shared" si="153"/>
        <v>0</v>
      </c>
      <c r="DO132" s="4">
        <f t="shared" si="154"/>
        <v>45236</v>
      </c>
      <c r="DP132" s="112">
        <f t="shared" ca="1" si="155"/>
        <v>0</v>
      </c>
      <c r="DQ132" s="112">
        <f t="shared" si="156"/>
        <v>0</v>
      </c>
      <c r="DR132" s="4">
        <f t="shared" si="157"/>
        <v>45236</v>
      </c>
      <c r="DS132" s="112">
        <f t="shared" ca="1" si="158"/>
        <v>0</v>
      </c>
      <c r="DT132" s="112">
        <f t="shared" si="159"/>
        <v>0</v>
      </c>
      <c r="DU132" s="4">
        <f t="shared" si="160"/>
        <v>45236</v>
      </c>
      <c r="DV132" s="112">
        <f t="shared" si="161"/>
        <v>0</v>
      </c>
      <c r="DW132" s="112">
        <f t="shared" si="162"/>
        <v>0</v>
      </c>
    </row>
    <row r="133" spans="2:127" x14ac:dyDescent="0.25">
      <c r="B133" s="74">
        <f t="shared" si="174"/>
        <v>183</v>
      </c>
      <c r="C133" s="84">
        <f t="shared" si="167"/>
        <v>0</v>
      </c>
      <c r="D133" s="84">
        <f t="shared" si="167"/>
        <v>0</v>
      </c>
      <c r="E133" s="84">
        <f t="shared" si="167"/>
        <v>0</v>
      </c>
      <c r="F133" s="84">
        <f t="shared" si="167"/>
        <v>0</v>
      </c>
      <c r="H133" s="75">
        <f t="shared" si="168"/>
        <v>183</v>
      </c>
      <c r="I133" s="77">
        <f t="shared" si="169"/>
        <v>0</v>
      </c>
      <c r="J133" s="77">
        <f t="shared" si="170"/>
        <v>0</v>
      </c>
      <c r="K133" s="77">
        <f t="shared" si="171"/>
        <v>0</v>
      </c>
      <c r="L133" s="77">
        <f t="shared" si="172"/>
        <v>0</v>
      </c>
      <c r="M133" s="77">
        <f t="shared" si="173"/>
        <v>0</v>
      </c>
      <c r="P133" s="54"/>
      <c r="Q133" s="4">
        <f t="shared" ref="Q133:Q196" si="183">Q132+1</f>
        <v>45237</v>
      </c>
      <c r="R133" s="24">
        <f t="shared" ref="R133:R196" si="184">SUMIF($C$85:$C$98,Q133,$D$85:$D$98)-SUMIF($C$5:$C$84,Q133,$D$5:$D$84)-IF(AND($Q133&gt;=$D$101,$Q133&lt;$D$104,$D$100&lt;&gt;0),$D$100/($D$104-$D$101),0)</f>
        <v>0</v>
      </c>
      <c r="S133" s="25">
        <f t="shared" ref="S133:S196" si="185">SUMIF($J$5:$J$99,Q133,$K$5:$K$99)+IF(AND($Q133&gt;=$K$105,$Q133&lt;$K$102,$K$100&lt;&gt;0),$K$100/($K$102-$K$105),0)</f>
        <v>0</v>
      </c>
      <c r="T133" s="24">
        <f t="shared" ref="T133:T196" si="186">SUMIF($C$85:$C$98,Q133,$E$85:$E$98)-SUMIF($C$5:$C$84,Q133,$E$5:$E$84)-IF(AND($Q133&gt;=$E$101,$Q133&lt;$E$104,$E$100&lt;&gt;0),$E$100/($E$104-$E$101),0)</f>
        <v>0</v>
      </c>
      <c r="U133" s="25">
        <f t="shared" ref="U133:U196" si="187">SUMIF($J$5:$J$99,Q133,$L$5:$L$99)+IF(AND($Q133&gt;=$L$105,$Q133&lt;$L$102,$L$100&lt;&gt;0),$L$100/($L$102-$L$105),0)</f>
        <v>0</v>
      </c>
      <c r="V133" s="24">
        <f t="shared" ref="V133:V196" si="188">SUMIF($C$85:$C$98,$Q133,$F$85:$F$98)-SUMIF($C$5:$C$84,$Q133,$F$5:$F$84)-IF(AND($Q133&gt;=$F$101,$Q133&lt;$F$104,$F$100&lt;&gt;0),$F$100/($F$104-$F$101),0)</f>
        <v>0</v>
      </c>
      <c r="W133" s="25">
        <f t="shared" ref="W133:W196" si="189">SUMIF($J$5:$J$99,Q133,$M$5:$M$99)+IF(AND($Q133&gt;=$M$105,$Q133&lt;$M$102,$M$100&lt;&gt;0),$M$100/($M$102-$M$105),0)</f>
        <v>0</v>
      </c>
      <c r="X133" s="24">
        <f t="shared" ref="X133:X196" si="190">SUMIF($C$85:$C$98,$Q133,$G$85:$G$98)-SUMIF($C$5:$C$84,$Q133,$G$5:$G$84)-IF(AND($Q133&gt;=$G$101,$Q133&lt;$G$104,$G$100&lt;&gt;0),$G$100/($G$104-$G$101),0)</f>
        <v>0</v>
      </c>
      <c r="Y133" s="26">
        <f t="shared" ref="Y133:Y196" si="191">SUMIF($J$5:$J$99,Q133,$N$5:$N$99)+IF(AND($Q133&gt;=$N$105,$Q133&lt;$N$102,$N$100&lt;&gt;0),$N$100/($N$102-$N$105),0)</f>
        <v>0</v>
      </c>
      <c r="Z133" s="27">
        <f t="shared" ref="Z133:Z196" si="192">SUMIF($J$5:$J$99,$Q133,$O$5:$O$99)</f>
        <v>0</v>
      </c>
      <c r="AA133" s="28">
        <f t="shared" ref="AA133:AA196" si="193">Q133</f>
        <v>45237</v>
      </c>
      <c r="AB133" s="24">
        <f t="shared" ref="AB133:AB196" si="194">AB132+R133</f>
        <v>0</v>
      </c>
      <c r="AC133" s="25">
        <f t="shared" ref="AC133:AC196" si="195">AC132+S133</f>
        <v>0</v>
      </c>
      <c r="AD133" s="28">
        <f t="shared" ref="AD133:AD196" si="196">AA133</f>
        <v>45237</v>
      </c>
      <c r="AE133" s="24">
        <f t="shared" ref="AE133:AE196" si="197">AE132+T133</f>
        <v>0</v>
      </c>
      <c r="AF133" s="25">
        <f t="shared" ref="AF133:AF196" si="198">AF132+U133</f>
        <v>0</v>
      </c>
      <c r="AG133" s="28">
        <f t="shared" ref="AG133:AG196" si="199">AD133</f>
        <v>45237</v>
      </c>
      <c r="AH133" s="24">
        <f t="shared" ref="AH133:AH196" si="200">AH132+V133</f>
        <v>0</v>
      </c>
      <c r="AI133" s="25">
        <f t="shared" ref="AI133:AI196" si="201">AI132+W133</f>
        <v>0</v>
      </c>
      <c r="AJ133" s="28">
        <f t="shared" ref="AJ133:AJ196" si="202">AG133</f>
        <v>45237</v>
      </c>
      <c r="AK133" s="24">
        <f t="shared" ref="AK133:AK196" si="203">AK132+X133</f>
        <v>0</v>
      </c>
      <c r="AL133" s="25">
        <f t="shared" ref="AL133:AL196" si="204">AL132+Y133</f>
        <v>0</v>
      </c>
      <c r="AM133" s="29">
        <f t="shared" ref="AM133:AM196" si="205">AM132+Z133</f>
        <v>0</v>
      </c>
      <c r="AN133" s="28">
        <f t="shared" ref="AN133:AN196" si="206">AA133</f>
        <v>45237</v>
      </c>
      <c r="AO133" s="373">
        <f t="shared" si="175"/>
        <v>0</v>
      </c>
      <c r="AP133" s="374">
        <f t="shared" si="176"/>
        <v>0</v>
      </c>
      <c r="AQ133" s="27">
        <f t="shared" si="177"/>
        <v>0</v>
      </c>
      <c r="AR133" s="25">
        <f t="shared" si="178"/>
        <v>0</v>
      </c>
      <c r="AS133" s="25">
        <f t="shared" si="179"/>
        <v>0</v>
      </c>
      <c r="AT133" s="25">
        <f t="shared" si="180"/>
        <v>0</v>
      </c>
      <c r="AU133" s="29">
        <f t="shared" si="163"/>
        <v>0</v>
      </c>
      <c r="AV133" s="27">
        <f t="shared" ref="AV133:AV196" si="207">IF(VALUE(AC133)&gt;0,AB133,0)</f>
        <v>0</v>
      </c>
      <c r="AW133" s="27">
        <f t="shared" ref="AW133:AW196" si="208">IF(VALUE(AF133)&gt;0,AE133,0)</f>
        <v>0</v>
      </c>
      <c r="AX133" s="27">
        <f t="shared" ref="AX133:AX196" si="209">IF(VALUE(AI133)&gt;0,AH133,0)</f>
        <v>0</v>
      </c>
      <c r="AY133" s="27">
        <f t="shared" ref="AY133:AY196" si="210">IF(VALUE(AL133)&gt;0,AK133,0)</f>
        <v>0</v>
      </c>
      <c r="BH133" s="2">
        <f t="shared" ref="BH133:BH196" si="211">IF(AND(BH132=0,BI133&lt;&gt;""),1,IF(AND(BH132=1,BJ132=""),1,0))</f>
        <v>0</v>
      </c>
      <c r="BI133" s="298" t="str">
        <f t="shared" ref="BI133:BI196" si="212">IF(UseSeg="Yes",IF(AND(ROUND(AP132,1)&gt;0,ROUND(AP133,1)&lt;1),AN133,""),"")</f>
        <v/>
      </c>
      <c r="BJ133" s="298" t="str">
        <f t="shared" si="181"/>
        <v/>
      </c>
      <c r="BQ133" s="4">
        <f t="shared" ref="BQ133:BQ196" si="213">AN133</f>
        <v>45237</v>
      </c>
      <c r="BR133" s="112">
        <f t="shared" ref="BR133:BR196" si="214">SUM(AB133,AE133,AH133,AK133)</f>
        <v>0</v>
      </c>
      <c r="BS133" s="112">
        <f t="shared" ref="BS133:BS196" si="215">AB133</f>
        <v>0</v>
      </c>
      <c r="BT133" s="112">
        <f t="shared" ref="BT133:BT196" si="216">AE133</f>
        <v>0</v>
      </c>
      <c r="BU133" s="112">
        <f t="shared" ref="BU133:BU196" si="217">AH133</f>
        <v>0</v>
      </c>
      <c r="BV133" s="112">
        <f t="shared" ref="BV133:BV196" si="218">AK133</f>
        <v>0</v>
      </c>
      <c r="CI133" s="4">
        <f t="shared" ref="CI133:CI196" si="219">BQ133</f>
        <v>45237</v>
      </c>
      <c r="CJ133" s="50">
        <f ca="1">IF($BH133=0,IF($CO133="",CJ132+R133,IF('283'!$K$251=1,VLOOKUP($CO133,PerStBal,2)+R133,IF('283'!$K$253=1,(VLOOKUP($CO133,PerPortion,2)*VLOOKUP($CO133,PerStBal,6))+R133,GL!BS133))),0)</f>
        <v>0</v>
      </c>
      <c r="CK133" s="425">
        <f ca="1">IF($BH133=0,IF($CO133="",CK132+T133,IF('283'!$K$251=1,IF(mname2&lt;&gt;"",VLOOKUP($CO133,PerStBal,3)+T133,0),IF('283'!$K$253=1,(VLOOKUP($CO133,PerPortion,3)*VLOOKUP($CO133,PerStBal,6))+T133,GL!BT133))),0)</f>
        <v>0</v>
      </c>
      <c r="CL133" s="425">
        <f ca="1">IF($BH133=0,IF($CO133="",CL132+V133,IF('283'!$K$251=1,IF(mname3&lt;&gt;"",VLOOKUP($CO133,PerStBal,4)+V133,0),IF('283'!$K$253=1,(VLOOKUP($CO133,PerPortion,4)*VLOOKUP($CO133,PerStBal,6))+V133,GL!BU133))),0)</f>
        <v>0</v>
      </c>
      <c r="CM133" s="425">
        <f ca="1">IF($BH133=0,IF($CO133="",CM132+X133,IF('283'!$K$251=1,IF(mname4&lt;&gt;"",VLOOKUP($CO133,PerStBal,5)+X133,0),IF('283'!$K$253=1,(VLOOKUP($CO133,PerPortion,5)*VLOOKUP($CO133,PerStBal,6))+X133,GL!BV133))),0)</f>
        <v>0</v>
      </c>
      <c r="CN133" s="50">
        <f t="shared" ref="CN133:CN196" ca="1" si="220">IFERROR(VLOOKUP(CO133,PerStBal,6),0)</f>
        <v>0</v>
      </c>
      <c r="CO133" s="4" t="str">
        <f t="shared" ref="CO133:CO196" ca="1" si="221">IFERROR(VLOOKUP(CI133,PerStBal,1,FALSE),"")</f>
        <v/>
      </c>
      <c r="CP133" s="377">
        <f t="shared" si="182"/>
        <v>0</v>
      </c>
      <c r="DI133" s="4">
        <f t="shared" ref="DI133:DI196" si="222">CI133</f>
        <v>45237</v>
      </c>
      <c r="DJ133" s="112">
        <f t="shared" ref="DJ133:DJ196" ca="1" si="223">CJ133</f>
        <v>0</v>
      </c>
      <c r="DK133" s="112">
        <f t="shared" ref="DK133:DK196" si="224">AC133</f>
        <v>0</v>
      </c>
      <c r="DL133" s="4">
        <f t="shared" ref="DL133:DL196" si="225">DI133</f>
        <v>45237</v>
      </c>
      <c r="DM133" s="112">
        <f t="shared" ref="DM133:DM196" ca="1" si="226">CK133</f>
        <v>0</v>
      </c>
      <c r="DN133" s="112">
        <f t="shared" ref="DN133:DN196" si="227">AF133</f>
        <v>0</v>
      </c>
      <c r="DO133" s="4">
        <f t="shared" ref="DO133:DO196" si="228">DL133</f>
        <v>45237</v>
      </c>
      <c r="DP133" s="112">
        <f t="shared" ref="DP133:DP196" ca="1" si="229">CL133</f>
        <v>0</v>
      </c>
      <c r="DQ133" s="112">
        <f t="shared" ref="DQ133:DQ196" si="230">AI133</f>
        <v>0</v>
      </c>
      <c r="DR133" s="4">
        <f t="shared" ref="DR133:DR196" si="231">DO133</f>
        <v>45237</v>
      </c>
      <c r="DS133" s="112">
        <f t="shared" ref="DS133:DS196" ca="1" si="232">CM133</f>
        <v>0</v>
      </c>
      <c r="DT133" s="112">
        <f t="shared" ref="DT133:DT196" si="233">AL133</f>
        <v>0</v>
      </c>
      <c r="DU133" s="4">
        <f t="shared" ref="DU133:DU196" si="234">DR133</f>
        <v>45237</v>
      </c>
      <c r="DV133" s="112">
        <f t="shared" ref="DV133:DV196" si="235">CP133</f>
        <v>0</v>
      </c>
      <c r="DW133" s="112">
        <f t="shared" ref="DW133:DW196" si="236">AP133</f>
        <v>0</v>
      </c>
    </row>
    <row r="134" spans="2:127" x14ac:dyDescent="0.25">
      <c r="B134" s="74">
        <f t="shared" si="174"/>
        <v>183</v>
      </c>
      <c r="C134" s="84">
        <f t="shared" ref="C134:F153" si="237">IF(AND($C25&lt;&gt;"",D25&lt;&gt;""),(YearEnd-$C25)/DaysInYear*-D25,0)</f>
        <v>0</v>
      </c>
      <c r="D134" s="84">
        <f t="shared" si="237"/>
        <v>0</v>
      </c>
      <c r="E134" s="84">
        <f t="shared" si="237"/>
        <v>0</v>
      </c>
      <c r="F134" s="84">
        <f t="shared" si="237"/>
        <v>0</v>
      </c>
      <c r="H134" s="75">
        <f t="shared" si="168"/>
        <v>183</v>
      </c>
      <c r="I134" s="77">
        <f t="shared" si="169"/>
        <v>0</v>
      </c>
      <c r="J134" s="77">
        <f t="shared" si="170"/>
        <v>0</v>
      </c>
      <c r="K134" s="77">
        <f t="shared" si="171"/>
        <v>0</v>
      </c>
      <c r="L134" s="77">
        <f t="shared" si="172"/>
        <v>0</v>
      </c>
      <c r="M134" s="77">
        <f t="shared" si="173"/>
        <v>0</v>
      </c>
      <c r="P134" s="54"/>
      <c r="Q134" s="4">
        <f t="shared" si="183"/>
        <v>45238</v>
      </c>
      <c r="R134" s="24">
        <f t="shared" si="184"/>
        <v>0</v>
      </c>
      <c r="S134" s="25">
        <f t="shared" si="185"/>
        <v>0</v>
      </c>
      <c r="T134" s="24">
        <f t="shared" si="186"/>
        <v>0</v>
      </c>
      <c r="U134" s="25">
        <f t="shared" si="187"/>
        <v>0</v>
      </c>
      <c r="V134" s="24">
        <f t="shared" si="188"/>
        <v>0</v>
      </c>
      <c r="W134" s="25">
        <f t="shared" si="189"/>
        <v>0</v>
      </c>
      <c r="X134" s="24">
        <f t="shared" si="190"/>
        <v>0</v>
      </c>
      <c r="Y134" s="26">
        <f t="shared" si="191"/>
        <v>0</v>
      </c>
      <c r="Z134" s="27">
        <f t="shared" si="192"/>
        <v>0</v>
      </c>
      <c r="AA134" s="28">
        <f t="shared" si="193"/>
        <v>45238</v>
      </c>
      <c r="AB134" s="24">
        <f t="shared" si="194"/>
        <v>0</v>
      </c>
      <c r="AC134" s="25">
        <f t="shared" si="195"/>
        <v>0</v>
      </c>
      <c r="AD134" s="28">
        <f t="shared" si="196"/>
        <v>45238</v>
      </c>
      <c r="AE134" s="24">
        <f t="shared" si="197"/>
        <v>0</v>
      </c>
      <c r="AF134" s="25">
        <f t="shared" si="198"/>
        <v>0</v>
      </c>
      <c r="AG134" s="28">
        <f t="shared" si="199"/>
        <v>45238</v>
      </c>
      <c r="AH134" s="24">
        <f t="shared" si="200"/>
        <v>0</v>
      </c>
      <c r="AI134" s="25">
        <f t="shared" si="201"/>
        <v>0</v>
      </c>
      <c r="AJ134" s="28">
        <f t="shared" si="202"/>
        <v>45238</v>
      </c>
      <c r="AK134" s="24">
        <f t="shared" si="203"/>
        <v>0</v>
      </c>
      <c r="AL134" s="25">
        <f t="shared" si="204"/>
        <v>0</v>
      </c>
      <c r="AM134" s="29">
        <f t="shared" si="205"/>
        <v>0</v>
      </c>
      <c r="AN134" s="28">
        <f t="shared" si="206"/>
        <v>45238</v>
      </c>
      <c r="AO134" s="373">
        <f t="shared" si="175"/>
        <v>0</v>
      </c>
      <c r="AP134" s="374">
        <f t="shared" si="176"/>
        <v>0</v>
      </c>
      <c r="AQ134" s="27">
        <f t="shared" si="177"/>
        <v>0</v>
      </c>
      <c r="AR134" s="25">
        <f t="shared" si="178"/>
        <v>0</v>
      </c>
      <c r="AS134" s="25">
        <f t="shared" si="179"/>
        <v>0</v>
      </c>
      <c r="AT134" s="25">
        <f t="shared" si="180"/>
        <v>0</v>
      </c>
      <c r="AU134" s="29">
        <f t="shared" ref="AU134:AU197" si="238">AM134</f>
        <v>0</v>
      </c>
      <c r="AV134" s="27">
        <f t="shared" si="207"/>
        <v>0</v>
      </c>
      <c r="AW134" s="27">
        <f t="shared" si="208"/>
        <v>0</v>
      </c>
      <c r="AX134" s="27">
        <f t="shared" si="209"/>
        <v>0</v>
      </c>
      <c r="AY134" s="27">
        <f t="shared" si="210"/>
        <v>0</v>
      </c>
      <c r="BH134" s="2">
        <f t="shared" si="211"/>
        <v>0</v>
      </c>
      <c r="BI134" s="298" t="str">
        <f t="shared" si="212"/>
        <v/>
      </c>
      <c r="BJ134" s="298" t="str">
        <f t="shared" si="181"/>
        <v/>
      </c>
      <c r="BQ134" s="4">
        <f t="shared" si="213"/>
        <v>45238</v>
      </c>
      <c r="BR134" s="112">
        <f t="shared" si="214"/>
        <v>0</v>
      </c>
      <c r="BS134" s="112">
        <f t="shared" si="215"/>
        <v>0</v>
      </c>
      <c r="BT134" s="112">
        <f t="shared" si="216"/>
        <v>0</v>
      </c>
      <c r="BU134" s="112">
        <f t="shared" si="217"/>
        <v>0</v>
      </c>
      <c r="BV134" s="112">
        <f t="shared" si="218"/>
        <v>0</v>
      </c>
      <c r="CI134" s="4">
        <f t="shared" si="219"/>
        <v>45238</v>
      </c>
      <c r="CJ134" s="50">
        <f ca="1">IF($BH134=0,IF($CO134="",CJ133+R134,IF('283'!$K$251=1,VLOOKUP($CO134,PerStBal,2)+R134,IF('283'!$K$253=1,(VLOOKUP($CO134,PerPortion,2)*VLOOKUP($CO134,PerStBal,6))+R134,GL!BS134))),0)</f>
        <v>0</v>
      </c>
      <c r="CK134" s="425">
        <f ca="1">IF($BH134=0,IF($CO134="",CK133+T134,IF('283'!$K$251=1,IF(mname2&lt;&gt;"",VLOOKUP($CO134,PerStBal,3)+T134,0),IF('283'!$K$253=1,(VLOOKUP($CO134,PerPortion,3)*VLOOKUP($CO134,PerStBal,6))+T134,GL!BT134))),0)</f>
        <v>0</v>
      </c>
      <c r="CL134" s="425">
        <f ca="1">IF($BH134=0,IF($CO134="",CL133+V134,IF('283'!$K$251=1,IF(mname3&lt;&gt;"",VLOOKUP($CO134,PerStBal,4)+V134,0),IF('283'!$K$253=1,(VLOOKUP($CO134,PerPortion,4)*VLOOKUP($CO134,PerStBal,6))+V134,GL!BU134))),0)</f>
        <v>0</v>
      </c>
      <c r="CM134" s="425">
        <f ca="1">IF($BH134=0,IF($CO134="",CM133+X134,IF('283'!$K$251=1,IF(mname4&lt;&gt;"",VLOOKUP($CO134,PerStBal,5)+X134,0),IF('283'!$K$253=1,(VLOOKUP($CO134,PerPortion,5)*VLOOKUP($CO134,PerStBal,6))+X134,GL!BV134))),0)</f>
        <v>0</v>
      </c>
      <c r="CN134" s="50">
        <f t="shared" ca="1" si="220"/>
        <v>0</v>
      </c>
      <c r="CO134" s="4" t="str">
        <f t="shared" ca="1" si="221"/>
        <v/>
      </c>
      <c r="CP134" s="377">
        <f t="shared" si="182"/>
        <v>0</v>
      </c>
      <c r="DI134" s="4">
        <f t="shared" si="222"/>
        <v>45238</v>
      </c>
      <c r="DJ134" s="112">
        <f t="shared" ca="1" si="223"/>
        <v>0</v>
      </c>
      <c r="DK134" s="112">
        <f t="shared" si="224"/>
        <v>0</v>
      </c>
      <c r="DL134" s="4">
        <f t="shared" si="225"/>
        <v>45238</v>
      </c>
      <c r="DM134" s="112">
        <f t="shared" ca="1" si="226"/>
        <v>0</v>
      </c>
      <c r="DN134" s="112">
        <f t="shared" si="227"/>
        <v>0</v>
      </c>
      <c r="DO134" s="4">
        <f t="shared" si="228"/>
        <v>45238</v>
      </c>
      <c r="DP134" s="112">
        <f t="shared" ca="1" si="229"/>
        <v>0</v>
      </c>
      <c r="DQ134" s="112">
        <f t="shared" si="230"/>
        <v>0</v>
      </c>
      <c r="DR134" s="4">
        <f t="shared" si="231"/>
        <v>45238</v>
      </c>
      <c r="DS134" s="112">
        <f t="shared" ca="1" si="232"/>
        <v>0</v>
      </c>
      <c r="DT134" s="112">
        <f t="shared" si="233"/>
        <v>0</v>
      </c>
      <c r="DU134" s="4">
        <f t="shared" si="234"/>
        <v>45238</v>
      </c>
      <c r="DV134" s="112">
        <f t="shared" si="235"/>
        <v>0</v>
      </c>
      <c r="DW134" s="112">
        <f t="shared" si="236"/>
        <v>0</v>
      </c>
    </row>
    <row r="135" spans="2:127" x14ac:dyDescent="0.25">
      <c r="B135" s="74">
        <f t="shared" si="174"/>
        <v>183</v>
      </c>
      <c r="C135" s="84">
        <f t="shared" si="237"/>
        <v>0</v>
      </c>
      <c r="D135" s="84">
        <f t="shared" si="237"/>
        <v>0</v>
      </c>
      <c r="E135" s="84">
        <f t="shared" si="237"/>
        <v>0</v>
      </c>
      <c r="F135" s="84">
        <f t="shared" si="237"/>
        <v>0</v>
      </c>
      <c r="H135" s="75">
        <f t="shared" si="168"/>
        <v>183</v>
      </c>
      <c r="I135" s="77">
        <f t="shared" si="169"/>
        <v>0</v>
      </c>
      <c r="J135" s="77">
        <f t="shared" si="170"/>
        <v>0</v>
      </c>
      <c r="K135" s="77">
        <f t="shared" si="171"/>
        <v>0</v>
      </c>
      <c r="L135" s="77">
        <f t="shared" si="172"/>
        <v>0</v>
      </c>
      <c r="M135" s="77">
        <f t="shared" si="173"/>
        <v>0</v>
      </c>
      <c r="Q135" s="4">
        <f t="shared" si="183"/>
        <v>45239</v>
      </c>
      <c r="R135" s="24">
        <f t="shared" si="184"/>
        <v>0</v>
      </c>
      <c r="S135" s="25">
        <f t="shared" si="185"/>
        <v>0</v>
      </c>
      <c r="T135" s="24">
        <f t="shared" si="186"/>
        <v>0</v>
      </c>
      <c r="U135" s="25">
        <f t="shared" si="187"/>
        <v>0</v>
      </c>
      <c r="V135" s="24">
        <f t="shared" si="188"/>
        <v>0</v>
      </c>
      <c r="W135" s="25">
        <f t="shared" si="189"/>
        <v>0</v>
      </c>
      <c r="X135" s="24">
        <f t="shared" si="190"/>
        <v>0</v>
      </c>
      <c r="Y135" s="26">
        <f t="shared" si="191"/>
        <v>0</v>
      </c>
      <c r="Z135" s="27">
        <f t="shared" si="192"/>
        <v>0</v>
      </c>
      <c r="AA135" s="28">
        <f t="shared" si="193"/>
        <v>45239</v>
      </c>
      <c r="AB135" s="24">
        <f t="shared" si="194"/>
        <v>0</v>
      </c>
      <c r="AC135" s="25">
        <f t="shared" si="195"/>
        <v>0</v>
      </c>
      <c r="AD135" s="28">
        <f t="shared" si="196"/>
        <v>45239</v>
      </c>
      <c r="AE135" s="24">
        <f t="shared" si="197"/>
        <v>0</v>
      </c>
      <c r="AF135" s="25">
        <f t="shared" si="198"/>
        <v>0</v>
      </c>
      <c r="AG135" s="28">
        <f t="shared" si="199"/>
        <v>45239</v>
      </c>
      <c r="AH135" s="24">
        <f t="shared" si="200"/>
        <v>0</v>
      </c>
      <c r="AI135" s="25">
        <f t="shared" si="201"/>
        <v>0</v>
      </c>
      <c r="AJ135" s="28">
        <f t="shared" si="202"/>
        <v>45239</v>
      </c>
      <c r="AK135" s="24">
        <f t="shared" si="203"/>
        <v>0</v>
      </c>
      <c r="AL135" s="25">
        <f t="shared" si="204"/>
        <v>0</v>
      </c>
      <c r="AM135" s="29">
        <f t="shared" si="205"/>
        <v>0</v>
      </c>
      <c r="AN135" s="28">
        <f t="shared" si="206"/>
        <v>45239</v>
      </c>
      <c r="AO135" s="373">
        <f t="shared" si="175"/>
        <v>0</v>
      </c>
      <c r="AP135" s="374">
        <f t="shared" si="176"/>
        <v>0</v>
      </c>
      <c r="AQ135" s="27">
        <f t="shared" si="177"/>
        <v>0</v>
      </c>
      <c r="AR135" s="25">
        <f t="shared" si="178"/>
        <v>0</v>
      </c>
      <c r="AS135" s="25">
        <f t="shared" si="179"/>
        <v>0</v>
      </c>
      <c r="AT135" s="25">
        <f t="shared" si="180"/>
        <v>0</v>
      </c>
      <c r="AU135" s="29">
        <f t="shared" si="238"/>
        <v>0</v>
      </c>
      <c r="AV135" s="27">
        <f t="shared" si="207"/>
        <v>0</v>
      </c>
      <c r="AW135" s="27">
        <f t="shared" si="208"/>
        <v>0</v>
      </c>
      <c r="AX135" s="27">
        <f t="shared" si="209"/>
        <v>0</v>
      </c>
      <c r="AY135" s="27">
        <f t="shared" si="210"/>
        <v>0</v>
      </c>
      <c r="BH135" s="2">
        <f t="shared" si="211"/>
        <v>0</v>
      </c>
      <c r="BI135" s="298" t="str">
        <f t="shared" si="212"/>
        <v/>
      </c>
      <c r="BJ135" s="298" t="str">
        <f t="shared" si="181"/>
        <v/>
      </c>
      <c r="BQ135" s="4">
        <f t="shared" si="213"/>
        <v>45239</v>
      </c>
      <c r="BR135" s="112">
        <f t="shared" si="214"/>
        <v>0</v>
      </c>
      <c r="BS135" s="112">
        <f t="shared" si="215"/>
        <v>0</v>
      </c>
      <c r="BT135" s="112">
        <f t="shared" si="216"/>
        <v>0</v>
      </c>
      <c r="BU135" s="112">
        <f t="shared" si="217"/>
        <v>0</v>
      </c>
      <c r="BV135" s="112">
        <f t="shared" si="218"/>
        <v>0</v>
      </c>
      <c r="CI135" s="4">
        <f t="shared" si="219"/>
        <v>45239</v>
      </c>
      <c r="CJ135" s="50">
        <f ca="1">IF($BH135=0,IF($CO135="",CJ134+R135,IF('283'!$K$251=1,VLOOKUP($CO135,PerStBal,2)+R135,IF('283'!$K$253=1,(VLOOKUP($CO135,PerPortion,2)*VLOOKUP($CO135,PerStBal,6))+R135,GL!BS135))),0)</f>
        <v>0</v>
      </c>
      <c r="CK135" s="425">
        <f ca="1">IF($BH135=0,IF($CO135="",CK134+T135,IF('283'!$K$251=1,IF(mname2&lt;&gt;"",VLOOKUP($CO135,PerStBal,3)+T135,0),IF('283'!$K$253=1,(VLOOKUP($CO135,PerPortion,3)*VLOOKUP($CO135,PerStBal,6))+T135,GL!BT135))),0)</f>
        <v>0</v>
      </c>
      <c r="CL135" s="425">
        <f ca="1">IF($BH135=0,IF($CO135="",CL134+V135,IF('283'!$K$251=1,IF(mname3&lt;&gt;"",VLOOKUP($CO135,PerStBal,4)+V135,0),IF('283'!$K$253=1,(VLOOKUP($CO135,PerPortion,4)*VLOOKUP($CO135,PerStBal,6))+V135,GL!BU135))),0)</f>
        <v>0</v>
      </c>
      <c r="CM135" s="425">
        <f ca="1">IF($BH135=0,IF($CO135="",CM134+X135,IF('283'!$K$251=1,IF(mname4&lt;&gt;"",VLOOKUP($CO135,PerStBal,5)+X135,0),IF('283'!$K$253=1,(VLOOKUP($CO135,PerPortion,5)*VLOOKUP($CO135,PerStBal,6))+X135,GL!BV135))),0)</f>
        <v>0</v>
      </c>
      <c r="CN135" s="50">
        <f t="shared" ca="1" si="220"/>
        <v>0</v>
      </c>
      <c r="CO135" s="4" t="str">
        <f t="shared" ca="1" si="221"/>
        <v/>
      </c>
      <c r="CP135" s="377">
        <f t="shared" si="182"/>
        <v>0</v>
      </c>
      <c r="DI135" s="4">
        <f t="shared" si="222"/>
        <v>45239</v>
      </c>
      <c r="DJ135" s="112">
        <f t="shared" ca="1" si="223"/>
        <v>0</v>
      </c>
      <c r="DK135" s="112">
        <f t="shared" si="224"/>
        <v>0</v>
      </c>
      <c r="DL135" s="4">
        <f t="shared" si="225"/>
        <v>45239</v>
      </c>
      <c r="DM135" s="112">
        <f t="shared" ca="1" si="226"/>
        <v>0</v>
      </c>
      <c r="DN135" s="112">
        <f t="shared" si="227"/>
        <v>0</v>
      </c>
      <c r="DO135" s="4">
        <f t="shared" si="228"/>
        <v>45239</v>
      </c>
      <c r="DP135" s="112">
        <f t="shared" ca="1" si="229"/>
        <v>0</v>
      </c>
      <c r="DQ135" s="112">
        <f t="shared" si="230"/>
        <v>0</v>
      </c>
      <c r="DR135" s="4">
        <f t="shared" si="231"/>
        <v>45239</v>
      </c>
      <c r="DS135" s="112">
        <f t="shared" ca="1" si="232"/>
        <v>0</v>
      </c>
      <c r="DT135" s="112">
        <f t="shared" si="233"/>
        <v>0</v>
      </c>
      <c r="DU135" s="4">
        <f t="shared" si="234"/>
        <v>45239</v>
      </c>
      <c r="DV135" s="112">
        <f t="shared" si="235"/>
        <v>0</v>
      </c>
      <c r="DW135" s="112">
        <f t="shared" si="236"/>
        <v>0</v>
      </c>
    </row>
    <row r="136" spans="2:127" x14ac:dyDescent="0.25">
      <c r="B136" s="74">
        <f t="shared" si="174"/>
        <v>183</v>
      </c>
      <c r="C136" s="84">
        <f t="shared" si="237"/>
        <v>0</v>
      </c>
      <c r="D136" s="84">
        <f t="shared" si="237"/>
        <v>0</v>
      </c>
      <c r="E136" s="84">
        <f t="shared" si="237"/>
        <v>0</v>
      </c>
      <c r="F136" s="84">
        <f t="shared" si="237"/>
        <v>0</v>
      </c>
      <c r="H136" s="75">
        <f t="shared" si="168"/>
        <v>183</v>
      </c>
      <c r="I136" s="77">
        <f t="shared" si="169"/>
        <v>0</v>
      </c>
      <c r="J136" s="77">
        <f t="shared" si="170"/>
        <v>0</v>
      </c>
      <c r="K136" s="77">
        <f t="shared" si="171"/>
        <v>0</v>
      </c>
      <c r="L136" s="77">
        <f t="shared" si="172"/>
        <v>0</v>
      </c>
      <c r="M136" s="77">
        <f t="shared" si="173"/>
        <v>0</v>
      </c>
      <c r="Q136" s="4">
        <f t="shared" si="183"/>
        <v>45240</v>
      </c>
      <c r="R136" s="24">
        <f t="shared" si="184"/>
        <v>0</v>
      </c>
      <c r="S136" s="25">
        <f t="shared" si="185"/>
        <v>0</v>
      </c>
      <c r="T136" s="24">
        <f t="shared" si="186"/>
        <v>0</v>
      </c>
      <c r="U136" s="25">
        <f t="shared" si="187"/>
        <v>0</v>
      </c>
      <c r="V136" s="24">
        <f t="shared" si="188"/>
        <v>0</v>
      </c>
      <c r="W136" s="25">
        <f t="shared" si="189"/>
        <v>0</v>
      </c>
      <c r="X136" s="24">
        <f t="shared" si="190"/>
        <v>0</v>
      </c>
      <c r="Y136" s="26">
        <f t="shared" si="191"/>
        <v>0</v>
      </c>
      <c r="Z136" s="27">
        <f t="shared" si="192"/>
        <v>0</v>
      </c>
      <c r="AA136" s="28">
        <f t="shared" si="193"/>
        <v>45240</v>
      </c>
      <c r="AB136" s="24">
        <f t="shared" si="194"/>
        <v>0</v>
      </c>
      <c r="AC136" s="25">
        <f t="shared" si="195"/>
        <v>0</v>
      </c>
      <c r="AD136" s="28">
        <f t="shared" si="196"/>
        <v>45240</v>
      </c>
      <c r="AE136" s="24">
        <f t="shared" si="197"/>
        <v>0</v>
      </c>
      <c r="AF136" s="25">
        <f t="shared" si="198"/>
        <v>0</v>
      </c>
      <c r="AG136" s="28">
        <f t="shared" si="199"/>
        <v>45240</v>
      </c>
      <c r="AH136" s="24">
        <f t="shared" si="200"/>
        <v>0</v>
      </c>
      <c r="AI136" s="25">
        <f t="shared" si="201"/>
        <v>0</v>
      </c>
      <c r="AJ136" s="28">
        <f t="shared" si="202"/>
        <v>45240</v>
      </c>
      <c r="AK136" s="24">
        <f t="shared" si="203"/>
        <v>0</v>
      </c>
      <c r="AL136" s="25">
        <f t="shared" si="204"/>
        <v>0</v>
      </c>
      <c r="AM136" s="29">
        <f t="shared" si="205"/>
        <v>0</v>
      </c>
      <c r="AN136" s="28">
        <f t="shared" si="206"/>
        <v>45240</v>
      </c>
      <c r="AO136" s="373">
        <f t="shared" si="175"/>
        <v>0</v>
      </c>
      <c r="AP136" s="374">
        <f t="shared" si="176"/>
        <v>0</v>
      </c>
      <c r="AQ136" s="27">
        <f t="shared" si="177"/>
        <v>0</v>
      </c>
      <c r="AR136" s="25">
        <f t="shared" si="178"/>
        <v>0</v>
      </c>
      <c r="AS136" s="25">
        <f t="shared" si="179"/>
        <v>0</v>
      </c>
      <c r="AT136" s="25">
        <f t="shared" si="180"/>
        <v>0</v>
      </c>
      <c r="AU136" s="29">
        <f t="shared" si="238"/>
        <v>0</v>
      </c>
      <c r="AV136" s="27">
        <f t="shared" si="207"/>
        <v>0</v>
      </c>
      <c r="AW136" s="27">
        <f t="shared" si="208"/>
        <v>0</v>
      </c>
      <c r="AX136" s="27">
        <f t="shared" si="209"/>
        <v>0</v>
      </c>
      <c r="AY136" s="27">
        <f t="shared" si="210"/>
        <v>0</v>
      </c>
      <c r="BH136" s="2">
        <f t="shared" si="211"/>
        <v>0</v>
      </c>
      <c r="BI136" s="298" t="str">
        <f t="shared" si="212"/>
        <v/>
      </c>
      <c r="BJ136" s="298" t="str">
        <f t="shared" si="181"/>
        <v/>
      </c>
      <c r="BQ136" s="4">
        <f t="shared" si="213"/>
        <v>45240</v>
      </c>
      <c r="BR136" s="112">
        <f t="shared" si="214"/>
        <v>0</v>
      </c>
      <c r="BS136" s="112">
        <f t="shared" si="215"/>
        <v>0</v>
      </c>
      <c r="BT136" s="112">
        <f t="shared" si="216"/>
        <v>0</v>
      </c>
      <c r="BU136" s="112">
        <f t="shared" si="217"/>
        <v>0</v>
      </c>
      <c r="BV136" s="112">
        <f t="shared" si="218"/>
        <v>0</v>
      </c>
      <c r="CI136" s="4">
        <f t="shared" si="219"/>
        <v>45240</v>
      </c>
      <c r="CJ136" s="50">
        <f ca="1">IF($BH136=0,IF($CO136="",CJ135+R136,IF('283'!$K$251=1,VLOOKUP($CO136,PerStBal,2)+R136,IF('283'!$K$253=1,(VLOOKUP($CO136,PerPortion,2)*VLOOKUP($CO136,PerStBal,6))+R136,GL!BS136))),0)</f>
        <v>0</v>
      </c>
      <c r="CK136" s="425">
        <f ca="1">IF($BH136=0,IF($CO136="",CK135+T136,IF('283'!$K$251=1,IF(mname2&lt;&gt;"",VLOOKUP($CO136,PerStBal,3)+T136,0),IF('283'!$K$253=1,(VLOOKUP($CO136,PerPortion,3)*VLOOKUP($CO136,PerStBal,6))+T136,GL!BT136))),0)</f>
        <v>0</v>
      </c>
      <c r="CL136" s="425">
        <f ca="1">IF($BH136=0,IF($CO136="",CL135+V136,IF('283'!$K$251=1,IF(mname3&lt;&gt;"",VLOOKUP($CO136,PerStBal,4)+V136,0),IF('283'!$K$253=1,(VLOOKUP($CO136,PerPortion,4)*VLOOKUP($CO136,PerStBal,6))+V136,GL!BU136))),0)</f>
        <v>0</v>
      </c>
      <c r="CM136" s="425">
        <f ca="1">IF($BH136=0,IF($CO136="",CM135+X136,IF('283'!$K$251=1,IF(mname4&lt;&gt;"",VLOOKUP($CO136,PerStBal,5)+X136,0),IF('283'!$K$253=1,(VLOOKUP($CO136,PerPortion,5)*VLOOKUP($CO136,PerStBal,6))+X136,GL!BV136))),0)</f>
        <v>0</v>
      </c>
      <c r="CN136" s="50">
        <f t="shared" ca="1" si="220"/>
        <v>0</v>
      </c>
      <c r="CO136" s="4" t="str">
        <f t="shared" ca="1" si="221"/>
        <v/>
      </c>
      <c r="CP136" s="377">
        <f t="shared" si="182"/>
        <v>0</v>
      </c>
      <c r="DI136" s="4">
        <f t="shared" si="222"/>
        <v>45240</v>
      </c>
      <c r="DJ136" s="112">
        <f t="shared" ca="1" si="223"/>
        <v>0</v>
      </c>
      <c r="DK136" s="112">
        <f t="shared" si="224"/>
        <v>0</v>
      </c>
      <c r="DL136" s="4">
        <f t="shared" si="225"/>
        <v>45240</v>
      </c>
      <c r="DM136" s="112">
        <f t="shared" ca="1" si="226"/>
        <v>0</v>
      </c>
      <c r="DN136" s="112">
        <f t="shared" si="227"/>
        <v>0</v>
      </c>
      <c r="DO136" s="4">
        <f t="shared" si="228"/>
        <v>45240</v>
      </c>
      <c r="DP136" s="112">
        <f t="shared" ca="1" si="229"/>
        <v>0</v>
      </c>
      <c r="DQ136" s="112">
        <f t="shared" si="230"/>
        <v>0</v>
      </c>
      <c r="DR136" s="4">
        <f t="shared" si="231"/>
        <v>45240</v>
      </c>
      <c r="DS136" s="112">
        <f t="shared" ca="1" si="232"/>
        <v>0</v>
      </c>
      <c r="DT136" s="112">
        <f t="shared" si="233"/>
        <v>0</v>
      </c>
      <c r="DU136" s="4">
        <f t="shared" si="234"/>
        <v>45240</v>
      </c>
      <c r="DV136" s="112">
        <f t="shared" si="235"/>
        <v>0</v>
      </c>
      <c r="DW136" s="112">
        <f t="shared" si="236"/>
        <v>0</v>
      </c>
    </row>
    <row r="137" spans="2:127" x14ac:dyDescent="0.25">
      <c r="B137" s="74">
        <f t="shared" si="174"/>
        <v>183</v>
      </c>
      <c r="C137" s="84">
        <f t="shared" si="237"/>
        <v>0</v>
      </c>
      <c r="D137" s="84">
        <f t="shared" si="237"/>
        <v>0</v>
      </c>
      <c r="E137" s="84">
        <f t="shared" si="237"/>
        <v>0</v>
      </c>
      <c r="F137" s="84">
        <f t="shared" si="237"/>
        <v>0</v>
      </c>
      <c r="H137" s="75">
        <f t="shared" si="168"/>
        <v>183</v>
      </c>
      <c r="I137" s="77">
        <f t="shared" si="169"/>
        <v>0</v>
      </c>
      <c r="J137" s="77">
        <f t="shared" si="170"/>
        <v>0</v>
      </c>
      <c r="K137" s="77">
        <f t="shared" si="171"/>
        <v>0</v>
      </c>
      <c r="L137" s="77">
        <f t="shared" si="172"/>
        <v>0</v>
      </c>
      <c r="M137" s="77">
        <f t="shared" si="173"/>
        <v>0</v>
      </c>
      <c r="Q137" s="4">
        <f t="shared" si="183"/>
        <v>45241</v>
      </c>
      <c r="R137" s="24">
        <f t="shared" si="184"/>
        <v>0</v>
      </c>
      <c r="S137" s="25">
        <f t="shared" si="185"/>
        <v>0</v>
      </c>
      <c r="T137" s="24">
        <f t="shared" si="186"/>
        <v>0</v>
      </c>
      <c r="U137" s="25">
        <f t="shared" si="187"/>
        <v>0</v>
      </c>
      <c r="V137" s="24">
        <f t="shared" si="188"/>
        <v>0</v>
      </c>
      <c r="W137" s="25">
        <f t="shared" si="189"/>
        <v>0</v>
      </c>
      <c r="X137" s="24">
        <f t="shared" si="190"/>
        <v>0</v>
      </c>
      <c r="Y137" s="26">
        <f t="shared" si="191"/>
        <v>0</v>
      </c>
      <c r="Z137" s="27">
        <f t="shared" si="192"/>
        <v>0</v>
      </c>
      <c r="AA137" s="28">
        <f t="shared" si="193"/>
        <v>45241</v>
      </c>
      <c r="AB137" s="24">
        <f t="shared" si="194"/>
        <v>0</v>
      </c>
      <c r="AC137" s="25">
        <f t="shared" si="195"/>
        <v>0</v>
      </c>
      <c r="AD137" s="28">
        <f t="shared" si="196"/>
        <v>45241</v>
      </c>
      <c r="AE137" s="24">
        <f t="shared" si="197"/>
        <v>0</v>
      </c>
      <c r="AF137" s="25">
        <f t="shared" si="198"/>
        <v>0</v>
      </c>
      <c r="AG137" s="28">
        <f t="shared" si="199"/>
        <v>45241</v>
      </c>
      <c r="AH137" s="24">
        <f t="shared" si="200"/>
        <v>0</v>
      </c>
      <c r="AI137" s="25">
        <f t="shared" si="201"/>
        <v>0</v>
      </c>
      <c r="AJ137" s="28">
        <f t="shared" si="202"/>
        <v>45241</v>
      </c>
      <c r="AK137" s="24">
        <f t="shared" si="203"/>
        <v>0</v>
      </c>
      <c r="AL137" s="25">
        <f t="shared" si="204"/>
        <v>0</v>
      </c>
      <c r="AM137" s="29">
        <f t="shared" si="205"/>
        <v>0</v>
      </c>
      <c r="AN137" s="28">
        <f t="shared" si="206"/>
        <v>45241</v>
      </c>
      <c r="AO137" s="373">
        <f t="shared" si="175"/>
        <v>0</v>
      </c>
      <c r="AP137" s="374">
        <f t="shared" si="176"/>
        <v>0</v>
      </c>
      <c r="AQ137" s="27">
        <f t="shared" si="177"/>
        <v>0</v>
      </c>
      <c r="AR137" s="25">
        <f t="shared" si="178"/>
        <v>0</v>
      </c>
      <c r="AS137" s="25">
        <f t="shared" si="179"/>
        <v>0</v>
      </c>
      <c r="AT137" s="25">
        <f t="shared" si="180"/>
        <v>0</v>
      </c>
      <c r="AU137" s="29">
        <f t="shared" si="238"/>
        <v>0</v>
      </c>
      <c r="AV137" s="27">
        <f t="shared" si="207"/>
        <v>0</v>
      </c>
      <c r="AW137" s="27">
        <f t="shared" si="208"/>
        <v>0</v>
      </c>
      <c r="AX137" s="27">
        <f t="shared" si="209"/>
        <v>0</v>
      </c>
      <c r="AY137" s="27">
        <f t="shared" si="210"/>
        <v>0</v>
      </c>
      <c r="BH137" s="2">
        <f t="shared" si="211"/>
        <v>0</v>
      </c>
      <c r="BI137" s="298" t="str">
        <f t="shared" si="212"/>
        <v/>
      </c>
      <c r="BJ137" s="298" t="str">
        <f t="shared" si="181"/>
        <v/>
      </c>
      <c r="BQ137" s="4">
        <f t="shared" si="213"/>
        <v>45241</v>
      </c>
      <c r="BR137" s="112">
        <f t="shared" si="214"/>
        <v>0</v>
      </c>
      <c r="BS137" s="112">
        <f t="shared" si="215"/>
        <v>0</v>
      </c>
      <c r="BT137" s="112">
        <f t="shared" si="216"/>
        <v>0</v>
      </c>
      <c r="BU137" s="112">
        <f t="shared" si="217"/>
        <v>0</v>
      </c>
      <c r="BV137" s="112">
        <f t="shared" si="218"/>
        <v>0</v>
      </c>
      <c r="CI137" s="4">
        <f t="shared" si="219"/>
        <v>45241</v>
      </c>
      <c r="CJ137" s="50">
        <f ca="1">IF($BH137=0,IF($CO137="",CJ136+R137,IF('283'!$K$251=1,VLOOKUP($CO137,PerStBal,2)+R137,IF('283'!$K$253=1,(VLOOKUP($CO137,PerPortion,2)*VLOOKUP($CO137,PerStBal,6))+R137,GL!BS137))),0)</f>
        <v>0</v>
      </c>
      <c r="CK137" s="425">
        <f ca="1">IF($BH137=0,IF($CO137="",CK136+T137,IF('283'!$K$251=1,IF(mname2&lt;&gt;"",VLOOKUP($CO137,PerStBal,3)+T137,0),IF('283'!$K$253=1,(VLOOKUP($CO137,PerPortion,3)*VLOOKUP($CO137,PerStBal,6))+T137,GL!BT137))),0)</f>
        <v>0</v>
      </c>
      <c r="CL137" s="425">
        <f ca="1">IF($BH137=0,IF($CO137="",CL136+V137,IF('283'!$K$251=1,IF(mname3&lt;&gt;"",VLOOKUP($CO137,PerStBal,4)+V137,0),IF('283'!$K$253=1,(VLOOKUP($CO137,PerPortion,4)*VLOOKUP($CO137,PerStBal,6))+V137,GL!BU137))),0)</f>
        <v>0</v>
      </c>
      <c r="CM137" s="425">
        <f ca="1">IF($BH137=0,IF($CO137="",CM136+X137,IF('283'!$K$251=1,IF(mname4&lt;&gt;"",VLOOKUP($CO137,PerStBal,5)+X137,0),IF('283'!$K$253=1,(VLOOKUP($CO137,PerPortion,5)*VLOOKUP($CO137,PerStBal,6))+X137,GL!BV137))),0)</f>
        <v>0</v>
      </c>
      <c r="CN137" s="50">
        <f t="shared" ca="1" si="220"/>
        <v>0</v>
      </c>
      <c r="CO137" s="4" t="str">
        <f t="shared" ca="1" si="221"/>
        <v/>
      </c>
      <c r="CP137" s="377">
        <f t="shared" si="182"/>
        <v>0</v>
      </c>
      <c r="DI137" s="4">
        <f t="shared" si="222"/>
        <v>45241</v>
      </c>
      <c r="DJ137" s="112">
        <f t="shared" ca="1" si="223"/>
        <v>0</v>
      </c>
      <c r="DK137" s="112">
        <f t="shared" si="224"/>
        <v>0</v>
      </c>
      <c r="DL137" s="4">
        <f t="shared" si="225"/>
        <v>45241</v>
      </c>
      <c r="DM137" s="112">
        <f t="shared" ca="1" si="226"/>
        <v>0</v>
      </c>
      <c r="DN137" s="112">
        <f t="shared" si="227"/>
        <v>0</v>
      </c>
      <c r="DO137" s="4">
        <f t="shared" si="228"/>
        <v>45241</v>
      </c>
      <c r="DP137" s="112">
        <f t="shared" ca="1" si="229"/>
        <v>0</v>
      </c>
      <c r="DQ137" s="112">
        <f t="shared" si="230"/>
        <v>0</v>
      </c>
      <c r="DR137" s="4">
        <f t="shared" si="231"/>
        <v>45241</v>
      </c>
      <c r="DS137" s="112">
        <f t="shared" ca="1" si="232"/>
        <v>0</v>
      </c>
      <c r="DT137" s="112">
        <f t="shared" si="233"/>
        <v>0</v>
      </c>
      <c r="DU137" s="4">
        <f t="shared" si="234"/>
        <v>45241</v>
      </c>
      <c r="DV137" s="112">
        <f t="shared" si="235"/>
        <v>0</v>
      </c>
      <c r="DW137" s="112">
        <f t="shared" si="236"/>
        <v>0</v>
      </c>
    </row>
    <row r="138" spans="2:127" x14ac:dyDescent="0.25">
      <c r="B138" s="74">
        <f t="shared" si="174"/>
        <v>183</v>
      </c>
      <c r="C138" s="84">
        <f t="shared" si="237"/>
        <v>0</v>
      </c>
      <c r="D138" s="84">
        <f t="shared" si="237"/>
        <v>0</v>
      </c>
      <c r="E138" s="84">
        <f t="shared" si="237"/>
        <v>0</v>
      </c>
      <c r="F138" s="84">
        <f t="shared" si="237"/>
        <v>0</v>
      </c>
      <c r="H138" s="75">
        <f t="shared" si="168"/>
        <v>183</v>
      </c>
      <c r="I138" s="77">
        <f t="shared" si="169"/>
        <v>0</v>
      </c>
      <c r="J138" s="77">
        <f t="shared" si="170"/>
        <v>0</v>
      </c>
      <c r="K138" s="77">
        <f t="shared" si="171"/>
        <v>0</v>
      </c>
      <c r="L138" s="77">
        <f t="shared" si="172"/>
        <v>0</v>
      </c>
      <c r="M138" s="77">
        <f t="shared" si="173"/>
        <v>0</v>
      </c>
      <c r="Q138" s="4">
        <f t="shared" si="183"/>
        <v>45242</v>
      </c>
      <c r="R138" s="24">
        <f t="shared" si="184"/>
        <v>0</v>
      </c>
      <c r="S138" s="25">
        <f t="shared" si="185"/>
        <v>0</v>
      </c>
      <c r="T138" s="24">
        <f t="shared" si="186"/>
        <v>0</v>
      </c>
      <c r="U138" s="25">
        <f t="shared" si="187"/>
        <v>0</v>
      </c>
      <c r="V138" s="24">
        <f t="shared" si="188"/>
        <v>0</v>
      </c>
      <c r="W138" s="25">
        <f t="shared" si="189"/>
        <v>0</v>
      </c>
      <c r="X138" s="24">
        <f t="shared" si="190"/>
        <v>0</v>
      </c>
      <c r="Y138" s="26">
        <f t="shared" si="191"/>
        <v>0</v>
      </c>
      <c r="Z138" s="27">
        <f t="shared" si="192"/>
        <v>0</v>
      </c>
      <c r="AA138" s="28">
        <f t="shared" si="193"/>
        <v>45242</v>
      </c>
      <c r="AB138" s="24">
        <f t="shared" si="194"/>
        <v>0</v>
      </c>
      <c r="AC138" s="25">
        <f t="shared" si="195"/>
        <v>0</v>
      </c>
      <c r="AD138" s="28">
        <f t="shared" si="196"/>
        <v>45242</v>
      </c>
      <c r="AE138" s="24">
        <f t="shared" si="197"/>
        <v>0</v>
      </c>
      <c r="AF138" s="25">
        <f t="shared" si="198"/>
        <v>0</v>
      </c>
      <c r="AG138" s="28">
        <f t="shared" si="199"/>
        <v>45242</v>
      </c>
      <c r="AH138" s="24">
        <f t="shared" si="200"/>
        <v>0</v>
      </c>
      <c r="AI138" s="25">
        <f t="shared" si="201"/>
        <v>0</v>
      </c>
      <c r="AJ138" s="28">
        <f t="shared" si="202"/>
        <v>45242</v>
      </c>
      <c r="AK138" s="24">
        <f t="shared" si="203"/>
        <v>0</v>
      </c>
      <c r="AL138" s="25">
        <f t="shared" si="204"/>
        <v>0</v>
      </c>
      <c r="AM138" s="29">
        <f t="shared" si="205"/>
        <v>0</v>
      </c>
      <c r="AN138" s="28">
        <f t="shared" si="206"/>
        <v>45242</v>
      </c>
      <c r="AO138" s="373">
        <f t="shared" si="175"/>
        <v>0</v>
      </c>
      <c r="AP138" s="374">
        <f t="shared" si="176"/>
        <v>0</v>
      </c>
      <c r="AQ138" s="27">
        <f t="shared" si="177"/>
        <v>0</v>
      </c>
      <c r="AR138" s="25">
        <f t="shared" si="178"/>
        <v>0</v>
      </c>
      <c r="AS138" s="25">
        <f t="shared" si="179"/>
        <v>0</v>
      </c>
      <c r="AT138" s="25">
        <f t="shared" si="180"/>
        <v>0</v>
      </c>
      <c r="AU138" s="29">
        <f t="shared" si="238"/>
        <v>0</v>
      </c>
      <c r="AV138" s="27">
        <f t="shared" si="207"/>
        <v>0</v>
      </c>
      <c r="AW138" s="27">
        <f t="shared" si="208"/>
        <v>0</v>
      </c>
      <c r="AX138" s="27">
        <f t="shared" si="209"/>
        <v>0</v>
      </c>
      <c r="AY138" s="27">
        <f t="shared" si="210"/>
        <v>0</v>
      </c>
      <c r="BH138" s="2">
        <f t="shared" si="211"/>
        <v>0</v>
      </c>
      <c r="BI138" s="298" t="str">
        <f t="shared" si="212"/>
        <v/>
      </c>
      <c r="BJ138" s="298" t="str">
        <f t="shared" si="181"/>
        <v/>
      </c>
      <c r="BQ138" s="4">
        <f t="shared" si="213"/>
        <v>45242</v>
      </c>
      <c r="BR138" s="112">
        <f t="shared" si="214"/>
        <v>0</v>
      </c>
      <c r="BS138" s="112">
        <f t="shared" si="215"/>
        <v>0</v>
      </c>
      <c r="BT138" s="112">
        <f t="shared" si="216"/>
        <v>0</v>
      </c>
      <c r="BU138" s="112">
        <f t="shared" si="217"/>
        <v>0</v>
      </c>
      <c r="BV138" s="112">
        <f t="shared" si="218"/>
        <v>0</v>
      </c>
      <c r="CI138" s="4">
        <f t="shared" si="219"/>
        <v>45242</v>
      </c>
      <c r="CJ138" s="50">
        <f ca="1">IF($BH138=0,IF($CO138="",CJ137+R138,IF('283'!$K$251=1,VLOOKUP($CO138,PerStBal,2)+R138,IF('283'!$K$253=1,(VLOOKUP($CO138,PerPortion,2)*VLOOKUP($CO138,PerStBal,6))+R138,GL!BS138))),0)</f>
        <v>0</v>
      </c>
      <c r="CK138" s="425">
        <f ca="1">IF($BH138=0,IF($CO138="",CK137+T138,IF('283'!$K$251=1,IF(mname2&lt;&gt;"",VLOOKUP($CO138,PerStBal,3)+T138,0),IF('283'!$K$253=1,(VLOOKUP($CO138,PerPortion,3)*VLOOKUP($CO138,PerStBal,6))+T138,GL!BT138))),0)</f>
        <v>0</v>
      </c>
      <c r="CL138" s="425">
        <f ca="1">IF($BH138=0,IF($CO138="",CL137+V138,IF('283'!$K$251=1,IF(mname3&lt;&gt;"",VLOOKUP($CO138,PerStBal,4)+V138,0),IF('283'!$K$253=1,(VLOOKUP($CO138,PerPortion,4)*VLOOKUP($CO138,PerStBal,6))+V138,GL!BU138))),0)</f>
        <v>0</v>
      </c>
      <c r="CM138" s="425">
        <f ca="1">IF($BH138=0,IF($CO138="",CM137+X138,IF('283'!$K$251=1,IF(mname4&lt;&gt;"",VLOOKUP($CO138,PerStBal,5)+X138,0),IF('283'!$K$253=1,(VLOOKUP($CO138,PerPortion,5)*VLOOKUP($CO138,PerStBal,6))+X138,GL!BV138))),0)</f>
        <v>0</v>
      </c>
      <c r="CN138" s="50">
        <f t="shared" ca="1" si="220"/>
        <v>0</v>
      </c>
      <c r="CO138" s="4" t="str">
        <f t="shared" ca="1" si="221"/>
        <v/>
      </c>
      <c r="CP138" s="377">
        <f t="shared" si="182"/>
        <v>0</v>
      </c>
      <c r="DI138" s="4">
        <f t="shared" si="222"/>
        <v>45242</v>
      </c>
      <c r="DJ138" s="112">
        <f t="shared" ca="1" si="223"/>
        <v>0</v>
      </c>
      <c r="DK138" s="112">
        <f t="shared" si="224"/>
        <v>0</v>
      </c>
      <c r="DL138" s="4">
        <f t="shared" si="225"/>
        <v>45242</v>
      </c>
      <c r="DM138" s="112">
        <f t="shared" ca="1" si="226"/>
        <v>0</v>
      </c>
      <c r="DN138" s="112">
        <f t="shared" si="227"/>
        <v>0</v>
      </c>
      <c r="DO138" s="4">
        <f t="shared" si="228"/>
        <v>45242</v>
      </c>
      <c r="DP138" s="112">
        <f t="shared" ca="1" si="229"/>
        <v>0</v>
      </c>
      <c r="DQ138" s="112">
        <f t="shared" si="230"/>
        <v>0</v>
      </c>
      <c r="DR138" s="4">
        <f t="shared" si="231"/>
        <v>45242</v>
      </c>
      <c r="DS138" s="112">
        <f t="shared" ca="1" si="232"/>
        <v>0</v>
      </c>
      <c r="DT138" s="112">
        <f t="shared" si="233"/>
        <v>0</v>
      </c>
      <c r="DU138" s="4">
        <f t="shared" si="234"/>
        <v>45242</v>
      </c>
      <c r="DV138" s="112">
        <f t="shared" si="235"/>
        <v>0</v>
      </c>
      <c r="DW138" s="112">
        <f t="shared" si="236"/>
        <v>0</v>
      </c>
    </row>
    <row r="139" spans="2:127" x14ac:dyDescent="0.25">
      <c r="B139" s="74">
        <f t="shared" si="174"/>
        <v>183</v>
      </c>
      <c r="C139" s="84">
        <f t="shared" si="237"/>
        <v>0</v>
      </c>
      <c r="D139" s="84">
        <f t="shared" si="237"/>
        <v>0</v>
      </c>
      <c r="E139" s="84">
        <f t="shared" si="237"/>
        <v>0</v>
      </c>
      <c r="F139" s="84">
        <f t="shared" si="237"/>
        <v>0</v>
      </c>
      <c r="H139" s="75">
        <f t="shared" si="168"/>
        <v>183</v>
      </c>
      <c r="I139" s="77">
        <f t="shared" si="169"/>
        <v>0</v>
      </c>
      <c r="J139" s="77">
        <f t="shared" si="170"/>
        <v>0</v>
      </c>
      <c r="K139" s="77">
        <f t="shared" si="171"/>
        <v>0</v>
      </c>
      <c r="L139" s="77">
        <f t="shared" si="172"/>
        <v>0</v>
      </c>
      <c r="M139" s="77">
        <f t="shared" si="173"/>
        <v>0</v>
      </c>
      <c r="Q139" s="4">
        <f t="shared" si="183"/>
        <v>45243</v>
      </c>
      <c r="R139" s="24">
        <f t="shared" si="184"/>
        <v>0</v>
      </c>
      <c r="S139" s="25">
        <f t="shared" si="185"/>
        <v>0</v>
      </c>
      <c r="T139" s="24">
        <f t="shared" si="186"/>
        <v>0</v>
      </c>
      <c r="U139" s="25">
        <f t="shared" si="187"/>
        <v>0</v>
      </c>
      <c r="V139" s="24">
        <f t="shared" si="188"/>
        <v>0</v>
      </c>
      <c r="W139" s="25">
        <f t="shared" si="189"/>
        <v>0</v>
      </c>
      <c r="X139" s="24">
        <f t="shared" si="190"/>
        <v>0</v>
      </c>
      <c r="Y139" s="26">
        <f t="shared" si="191"/>
        <v>0</v>
      </c>
      <c r="Z139" s="27">
        <f t="shared" si="192"/>
        <v>0</v>
      </c>
      <c r="AA139" s="28">
        <f t="shared" si="193"/>
        <v>45243</v>
      </c>
      <c r="AB139" s="24">
        <f t="shared" si="194"/>
        <v>0</v>
      </c>
      <c r="AC139" s="25">
        <f t="shared" si="195"/>
        <v>0</v>
      </c>
      <c r="AD139" s="28">
        <f t="shared" si="196"/>
        <v>45243</v>
      </c>
      <c r="AE139" s="24">
        <f t="shared" si="197"/>
        <v>0</v>
      </c>
      <c r="AF139" s="25">
        <f t="shared" si="198"/>
        <v>0</v>
      </c>
      <c r="AG139" s="28">
        <f t="shared" si="199"/>
        <v>45243</v>
      </c>
      <c r="AH139" s="24">
        <f t="shared" si="200"/>
        <v>0</v>
      </c>
      <c r="AI139" s="25">
        <f t="shared" si="201"/>
        <v>0</v>
      </c>
      <c r="AJ139" s="28">
        <f t="shared" si="202"/>
        <v>45243</v>
      </c>
      <c r="AK139" s="24">
        <f t="shared" si="203"/>
        <v>0</v>
      </c>
      <c r="AL139" s="25">
        <f t="shared" si="204"/>
        <v>0</v>
      </c>
      <c r="AM139" s="29">
        <f t="shared" si="205"/>
        <v>0</v>
      </c>
      <c r="AN139" s="28">
        <f t="shared" si="206"/>
        <v>45243</v>
      </c>
      <c r="AO139" s="373">
        <f t="shared" si="175"/>
        <v>0</v>
      </c>
      <c r="AP139" s="374">
        <f t="shared" si="176"/>
        <v>0</v>
      </c>
      <c r="AQ139" s="27">
        <f t="shared" si="177"/>
        <v>0</v>
      </c>
      <c r="AR139" s="25">
        <f t="shared" si="178"/>
        <v>0</v>
      </c>
      <c r="AS139" s="25">
        <f t="shared" si="179"/>
        <v>0</v>
      </c>
      <c r="AT139" s="25">
        <f t="shared" si="180"/>
        <v>0</v>
      </c>
      <c r="AU139" s="29">
        <f t="shared" si="238"/>
        <v>0</v>
      </c>
      <c r="AV139" s="27">
        <f t="shared" si="207"/>
        <v>0</v>
      </c>
      <c r="AW139" s="27">
        <f t="shared" si="208"/>
        <v>0</v>
      </c>
      <c r="AX139" s="27">
        <f t="shared" si="209"/>
        <v>0</v>
      </c>
      <c r="AY139" s="27">
        <f t="shared" si="210"/>
        <v>0</v>
      </c>
      <c r="BH139" s="2">
        <f t="shared" si="211"/>
        <v>0</v>
      </c>
      <c r="BI139" s="298" t="str">
        <f t="shared" si="212"/>
        <v/>
      </c>
      <c r="BJ139" s="298" t="str">
        <f t="shared" si="181"/>
        <v/>
      </c>
      <c r="BQ139" s="4">
        <f t="shared" si="213"/>
        <v>45243</v>
      </c>
      <c r="BR139" s="112">
        <f t="shared" si="214"/>
        <v>0</v>
      </c>
      <c r="BS139" s="112">
        <f t="shared" si="215"/>
        <v>0</v>
      </c>
      <c r="BT139" s="112">
        <f t="shared" si="216"/>
        <v>0</v>
      </c>
      <c r="BU139" s="112">
        <f t="shared" si="217"/>
        <v>0</v>
      </c>
      <c r="BV139" s="112">
        <f t="shared" si="218"/>
        <v>0</v>
      </c>
      <c r="CI139" s="4">
        <f t="shared" si="219"/>
        <v>45243</v>
      </c>
      <c r="CJ139" s="50">
        <f ca="1">IF($BH139=0,IF($CO139="",CJ138+R139,IF('283'!$K$251=1,VLOOKUP($CO139,PerStBal,2)+R139,IF('283'!$K$253=1,(VLOOKUP($CO139,PerPortion,2)*VLOOKUP($CO139,PerStBal,6))+R139,GL!BS139))),0)</f>
        <v>0</v>
      </c>
      <c r="CK139" s="425">
        <f ca="1">IF($BH139=0,IF($CO139="",CK138+T139,IF('283'!$K$251=1,IF(mname2&lt;&gt;"",VLOOKUP($CO139,PerStBal,3)+T139,0),IF('283'!$K$253=1,(VLOOKUP($CO139,PerPortion,3)*VLOOKUP($CO139,PerStBal,6))+T139,GL!BT139))),0)</f>
        <v>0</v>
      </c>
      <c r="CL139" s="425">
        <f ca="1">IF($BH139=0,IF($CO139="",CL138+V139,IF('283'!$K$251=1,IF(mname3&lt;&gt;"",VLOOKUP($CO139,PerStBal,4)+V139,0),IF('283'!$K$253=1,(VLOOKUP($CO139,PerPortion,4)*VLOOKUP($CO139,PerStBal,6))+V139,GL!BU139))),0)</f>
        <v>0</v>
      </c>
      <c r="CM139" s="425">
        <f ca="1">IF($BH139=0,IF($CO139="",CM138+X139,IF('283'!$K$251=1,IF(mname4&lt;&gt;"",VLOOKUP($CO139,PerStBal,5)+X139,0),IF('283'!$K$253=1,(VLOOKUP($CO139,PerPortion,5)*VLOOKUP($CO139,PerStBal,6))+X139,GL!BV139))),0)</f>
        <v>0</v>
      </c>
      <c r="CN139" s="50">
        <f t="shared" ca="1" si="220"/>
        <v>0</v>
      </c>
      <c r="CO139" s="4" t="str">
        <f t="shared" ca="1" si="221"/>
        <v/>
      </c>
      <c r="CP139" s="377">
        <f t="shared" si="182"/>
        <v>0</v>
      </c>
      <c r="DI139" s="4">
        <f t="shared" si="222"/>
        <v>45243</v>
      </c>
      <c r="DJ139" s="112">
        <f t="shared" ca="1" si="223"/>
        <v>0</v>
      </c>
      <c r="DK139" s="112">
        <f t="shared" si="224"/>
        <v>0</v>
      </c>
      <c r="DL139" s="4">
        <f t="shared" si="225"/>
        <v>45243</v>
      </c>
      <c r="DM139" s="112">
        <f t="shared" ca="1" si="226"/>
        <v>0</v>
      </c>
      <c r="DN139" s="112">
        <f t="shared" si="227"/>
        <v>0</v>
      </c>
      <c r="DO139" s="4">
        <f t="shared" si="228"/>
        <v>45243</v>
      </c>
      <c r="DP139" s="112">
        <f t="shared" ca="1" si="229"/>
        <v>0</v>
      </c>
      <c r="DQ139" s="112">
        <f t="shared" si="230"/>
        <v>0</v>
      </c>
      <c r="DR139" s="4">
        <f t="shared" si="231"/>
        <v>45243</v>
      </c>
      <c r="DS139" s="112">
        <f t="shared" ca="1" si="232"/>
        <v>0</v>
      </c>
      <c r="DT139" s="112">
        <f t="shared" si="233"/>
        <v>0</v>
      </c>
      <c r="DU139" s="4">
        <f t="shared" si="234"/>
        <v>45243</v>
      </c>
      <c r="DV139" s="112">
        <f t="shared" si="235"/>
        <v>0</v>
      </c>
      <c r="DW139" s="112">
        <f t="shared" si="236"/>
        <v>0</v>
      </c>
    </row>
    <row r="140" spans="2:127" x14ac:dyDescent="0.25">
      <c r="B140" s="74">
        <f t="shared" si="174"/>
        <v>183</v>
      </c>
      <c r="C140" s="84">
        <f t="shared" si="237"/>
        <v>0</v>
      </c>
      <c r="D140" s="84">
        <f t="shared" si="237"/>
        <v>0</v>
      </c>
      <c r="E140" s="84">
        <f t="shared" si="237"/>
        <v>0</v>
      </c>
      <c r="F140" s="84">
        <f t="shared" si="237"/>
        <v>0</v>
      </c>
      <c r="H140" s="75">
        <f t="shared" si="168"/>
        <v>183</v>
      </c>
      <c r="I140" s="77">
        <f t="shared" si="169"/>
        <v>0</v>
      </c>
      <c r="J140" s="77">
        <f t="shared" si="170"/>
        <v>0</v>
      </c>
      <c r="K140" s="77">
        <f t="shared" si="171"/>
        <v>0</v>
      </c>
      <c r="L140" s="77">
        <f t="shared" si="172"/>
        <v>0</v>
      </c>
      <c r="M140" s="77">
        <f t="shared" si="173"/>
        <v>0</v>
      </c>
      <c r="Q140" s="4">
        <f t="shared" si="183"/>
        <v>45244</v>
      </c>
      <c r="R140" s="24">
        <f t="shared" si="184"/>
        <v>0</v>
      </c>
      <c r="S140" s="25">
        <f t="shared" si="185"/>
        <v>0</v>
      </c>
      <c r="T140" s="24">
        <f t="shared" si="186"/>
        <v>0</v>
      </c>
      <c r="U140" s="25">
        <f t="shared" si="187"/>
        <v>0</v>
      </c>
      <c r="V140" s="24">
        <f t="shared" si="188"/>
        <v>0</v>
      </c>
      <c r="W140" s="25">
        <f t="shared" si="189"/>
        <v>0</v>
      </c>
      <c r="X140" s="24">
        <f t="shared" si="190"/>
        <v>0</v>
      </c>
      <c r="Y140" s="26">
        <f t="shared" si="191"/>
        <v>0</v>
      </c>
      <c r="Z140" s="27">
        <f t="shared" si="192"/>
        <v>0</v>
      </c>
      <c r="AA140" s="28">
        <f t="shared" si="193"/>
        <v>45244</v>
      </c>
      <c r="AB140" s="24">
        <f t="shared" si="194"/>
        <v>0</v>
      </c>
      <c r="AC140" s="25">
        <f t="shared" si="195"/>
        <v>0</v>
      </c>
      <c r="AD140" s="28">
        <f t="shared" si="196"/>
        <v>45244</v>
      </c>
      <c r="AE140" s="24">
        <f t="shared" si="197"/>
        <v>0</v>
      </c>
      <c r="AF140" s="25">
        <f t="shared" si="198"/>
        <v>0</v>
      </c>
      <c r="AG140" s="28">
        <f t="shared" si="199"/>
        <v>45244</v>
      </c>
      <c r="AH140" s="24">
        <f t="shared" si="200"/>
        <v>0</v>
      </c>
      <c r="AI140" s="25">
        <f t="shared" si="201"/>
        <v>0</v>
      </c>
      <c r="AJ140" s="28">
        <f t="shared" si="202"/>
        <v>45244</v>
      </c>
      <c r="AK140" s="24">
        <f t="shared" si="203"/>
        <v>0</v>
      </c>
      <c r="AL140" s="25">
        <f t="shared" si="204"/>
        <v>0</v>
      </c>
      <c r="AM140" s="29">
        <f t="shared" si="205"/>
        <v>0</v>
      </c>
      <c r="AN140" s="28">
        <f t="shared" si="206"/>
        <v>45244</v>
      </c>
      <c r="AO140" s="373">
        <f t="shared" si="175"/>
        <v>0</v>
      </c>
      <c r="AP140" s="374">
        <f t="shared" si="176"/>
        <v>0</v>
      </c>
      <c r="AQ140" s="27">
        <f t="shared" si="177"/>
        <v>0</v>
      </c>
      <c r="AR140" s="25">
        <f t="shared" si="178"/>
        <v>0</v>
      </c>
      <c r="AS140" s="25">
        <f t="shared" si="179"/>
        <v>0</v>
      </c>
      <c r="AT140" s="25">
        <f t="shared" si="180"/>
        <v>0</v>
      </c>
      <c r="AU140" s="29">
        <f t="shared" si="238"/>
        <v>0</v>
      </c>
      <c r="AV140" s="27">
        <f t="shared" si="207"/>
        <v>0</v>
      </c>
      <c r="AW140" s="27">
        <f t="shared" si="208"/>
        <v>0</v>
      </c>
      <c r="AX140" s="27">
        <f t="shared" si="209"/>
        <v>0</v>
      </c>
      <c r="AY140" s="27">
        <f t="shared" si="210"/>
        <v>0</v>
      </c>
      <c r="BH140" s="2">
        <f t="shared" si="211"/>
        <v>0</v>
      </c>
      <c r="BI140" s="298" t="str">
        <f t="shared" si="212"/>
        <v/>
      </c>
      <c r="BJ140" s="298" t="str">
        <f t="shared" si="181"/>
        <v/>
      </c>
      <c r="BQ140" s="4">
        <f t="shared" si="213"/>
        <v>45244</v>
      </c>
      <c r="BR140" s="112">
        <f t="shared" si="214"/>
        <v>0</v>
      </c>
      <c r="BS140" s="112">
        <f t="shared" si="215"/>
        <v>0</v>
      </c>
      <c r="BT140" s="112">
        <f t="shared" si="216"/>
        <v>0</v>
      </c>
      <c r="BU140" s="112">
        <f t="shared" si="217"/>
        <v>0</v>
      </c>
      <c r="BV140" s="112">
        <f t="shared" si="218"/>
        <v>0</v>
      </c>
      <c r="CI140" s="4">
        <f t="shared" si="219"/>
        <v>45244</v>
      </c>
      <c r="CJ140" s="50">
        <f ca="1">IF($BH140=0,IF($CO140="",CJ139+R140,IF('283'!$K$251=1,VLOOKUP($CO140,PerStBal,2)+R140,IF('283'!$K$253=1,(VLOOKUP($CO140,PerPortion,2)*VLOOKUP($CO140,PerStBal,6))+R140,GL!BS140))),0)</f>
        <v>0</v>
      </c>
      <c r="CK140" s="425">
        <f ca="1">IF($BH140=0,IF($CO140="",CK139+T140,IF('283'!$K$251=1,IF(mname2&lt;&gt;"",VLOOKUP($CO140,PerStBal,3)+T140,0),IF('283'!$K$253=1,(VLOOKUP($CO140,PerPortion,3)*VLOOKUP($CO140,PerStBal,6))+T140,GL!BT140))),0)</f>
        <v>0</v>
      </c>
      <c r="CL140" s="425">
        <f ca="1">IF($BH140=0,IF($CO140="",CL139+V140,IF('283'!$K$251=1,IF(mname3&lt;&gt;"",VLOOKUP($CO140,PerStBal,4)+V140,0),IF('283'!$K$253=1,(VLOOKUP($CO140,PerPortion,4)*VLOOKUP($CO140,PerStBal,6))+V140,GL!BU140))),0)</f>
        <v>0</v>
      </c>
      <c r="CM140" s="425">
        <f ca="1">IF($BH140=0,IF($CO140="",CM139+X140,IF('283'!$K$251=1,IF(mname4&lt;&gt;"",VLOOKUP($CO140,PerStBal,5)+X140,0),IF('283'!$K$253=1,(VLOOKUP($CO140,PerPortion,5)*VLOOKUP($CO140,PerStBal,6))+X140,GL!BV140))),0)</f>
        <v>0</v>
      </c>
      <c r="CN140" s="50">
        <f t="shared" ca="1" si="220"/>
        <v>0</v>
      </c>
      <c r="CO140" s="4" t="str">
        <f t="shared" ca="1" si="221"/>
        <v/>
      </c>
      <c r="CP140" s="377">
        <f t="shared" si="182"/>
        <v>0</v>
      </c>
      <c r="DI140" s="4">
        <f t="shared" si="222"/>
        <v>45244</v>
      </c>
      <c r="DJ140" s="112">
        <f t="shared" ca="1" si="223"/>
        <v>0</v>
      </c>
      <c r="DK140" s="112">
        <f t="shared" si="224"/>
        <v>0</v>
      </c>
      <c r="DL140" s="4">
        <f t="shared" si="225"/>
        <v>45244</v>
      </c>
      <c r="DM140" s="112">
        <f t="shared" ca="1" si="226"/>
        <v>0</v>
      </c>
      <c r="DN140" s="112">
        <f t="shared" si="227"/>
        <v>0</v>
      </c>
      <c r="DO140" s="4">
        <f t="shared" si="228"/>
        <v>45244</v>
      </c>
      <c r="DP140" s="112">
        <f t="shared" ca="1" si="229"/>
        <v>0</v>
      </c>
      <c r="DQ140" s="112">
        <f t="shared" si="230"/>
        <v>0</v>
      </c>
      <c r="DR140" s="4">
        <f t="shared" si="231"/>
        <v>45244</v>
      </c>
      <c r="DS140" s="112">
        <f t="shared" ca="1" si="232"/>
        <v>0</v>
      </c>
      <c r="DT140" s="112">
        <f t="shared" si="233"/>
        <v>0</v>
      </c>
      <c r="DU140" s="4">
        <f t="shared" si="234"/>
        <v>45244</v>
      </c>
      <c r="DV140" s="112">
        <f t="shared" si="235"/>
        <v>0</v>
      </c>
      <c r="DW140" s="112">
        <f t="shared" si="236"/>
        <v>0</v>
      </c>
    </row>
    <row r="141" spans="2:127" x14ac:dyDescent="0.25">
      <c r="B141" s="74">
        <f t="shared" si="174"/>
        <v>183</v>
      </c>
      <c r="C141" s="84">
        <f t="shared" si="237"/>
        <v>0</v>
      </c>
      <c r="D141" s="84">
        <f t="shared" si="237"/>
        <v>0</v>
      </c>
      <c r="E141" s="84">
        <f t="shared" si="237"/>
        <v>0</v>
      </c>
      <c r="F141" s="84">
        <f t="shared" si="237"/>
        <v>0</v>
      </c>
      <c r="H141" s="75">
        <f t="shared" si="168"/>
        <v>183</v>
      </c>
      <c r="I141" s="77">
        <f t="shared" si="169"/>
        <v>0</v>
      </c>
      <c r="J141" s="77">
        <f t="shared" si="170"/>
        <v>0</v>
      </c>
      <c r="K141" s="77">
        <f t="shared" si="171"/>
        <v>0</v>
      </c>
      <c r="L141" s="77">
        <f t="shared" si="172"/>
        <v>0</v>
      </c>
      <c r="M141" s="77">
        <f t="shared" si="173"/>
        <v>0</v>
      </c>
      <c r="Q141" s="4">
        <f t="shared" si="183"/>
        <v>45245</v>
      </c>
      <c r="R141" s="24">
        <f t="shared" si="184"/>
        <v>0</v>
      </c>
      <c r="S141" s="25">
        <f t="shared" si="185"/>
        <v>0</v>
      </c>
      <c r="T141" s="24">
        <f t="shared" si="186"/>
        <v>0</v>
      </c>
      <c r="U141" s="25">
        <f t="shared" si="187"/>
        <v>0</v>
      </c>
      <c r="V141" s="24">
        <f t="shared" si="188"/>
        <v>0</v>
      </c>
      <c r="W141" s="25">
        <f t="shared" si="189"/>
        <v>0</v>
      </c>
      <c r="X141" s="24">
        <f t="shared" si="190"/>
        <v>0</v>
      </c>
      <c r="Y141" s="26">
        <f t="shared" si="191"/>
        <v>0</v>
      </c>
      <c r="Z141" s="27">
        <f t="shared" si="192"/>
        <v>0</v>
      </c>
      <c r="AA141" s="28">
        <f t="shared" si="193"/>
        <v>45245</v>
      </c>
      <c r="AB141" s="24">
        <f t="shared" si="194"/>
        <v>0</v>
      </c>
      <c r="AC141" s="25">
        <f t="shared" si="195"/>
        <v>0</v>
      </c>
      <c r="AD141" s="28">
        <f t="shared" si="196"/>
        <v>45245</v>
      </c>
      <c r="AE141" s="24">
        <f t="shared" si="197"/>
        <v>0</v>
      </c>
      <c r="AF141" s="25">
        <f t="shared" si="198"/>
        <v>0</v>
      </c>
      <c r="AG141" s="28">
        <f t="shared" si="199"/>
        <v>45245</v>
      </c>
      <c r="AH141" s="24">
        <f t="shared" si="200"/>
        <v>0</v>
      </c>
      <c r="AI141" s="25">
        <f t="shared" si="201"/>
        <v>0</v>
      </c>
      <c r="AJ141" s="28">
        <f t="shared" si="202"/>
        <v>45245</v>
      </c>
      <c r="AK141" s="24">
        <f t="shared" si="203"/>
        <v>0</v>
      </c>
      <c r="AL141" s="25">
        <f t="shared" si="204"/>
        <v>0</v>
      </c>
      <c r="AM141" s="29">
        <f t="shared" si="205"/>
        <v>0</v>
      </c>
      <c r="AN141" s="28">
        <f t="shared" si="206"/>
        <v>45245</v>
      </c>
      <c r="AO141" s="373">
        <f t="shared" si="175"/>
        <v>0</v>
      </c>
      <c r="AP141" s="374">
        <f t="shared" si="176"/>
        <v>0</v>
      </c>
      <c r="AQ141" s="27">
        <f t="shared" si="177"/>
        <v>0</v>
      </c>
      <c r="AR141" s="25">
        <f t="shared" si="178"/>
        <v>0</v>
      </c>
      <c r="AS141" s="25">
        <f t="shared" si="179"/>
        <v>0</v>
      </c>
      <c r="AT141" s="25">
        <f t="shared" si="180"/>
        <v>0</v>
      </c>
      <c r="AU141" s="29">
        <f t="shared" si="238"/>
        <v>0</v>
      </c>
      <c r="AV141" s="27">
        <f t="shared" si="207"/>
        <v>0</v>
      </c>
      <c r="AW141" s="27">
        <f t="shared" si="208"/>
        <v>0</v>
      </c>
      <c r="AX141" s="27">
        <f t="shared" si="209"/>
        <v>0</v>
      </c>
      <c r="AY141" s="27">
        <f t="shared" si="210"/>
        <v>0</v>
      </c>
      <c r="BH141" s="2">
        <f t="shared" si="211"/>
        <v>0</v>
      </c>
      <c r="BI141" s="298" t="str">
        <f t="shared" si="212"/>
        <v/>
      </c>
      <c r="BJ141" s="298" t="str">
        <f t="shared" si="181"/>
        <v/>
      </c>
      <c r="BQ141" s="4">
        <f t="shared" si="213"/>
        <v>45245</v>
      </c>
      <c r="BR141" s="112">
        <f t="shared" si="214"/>
        <v>0</v>
      </c>
      <c r="BS141" s="112">
        <f t="shared" si="215"/>
        <v>0</v>
      </c>
      <c r="BT141" s="112">
        <f t="shared" si="216"/>
        <v>0</v>
      </c>
      <c r="BU141" s="112">
        <f t="shared" si="217"/>
        <v>0</v>
      </c>
      <c r="BV141" s="112">
        <f t="shared" si="218"/>
        <v>0</v>
      </c>
      <c r="CI141" s="4">
        <f t="shared" si="219"/>
        <v>45245</v>
      </c>
      <c r="CJ141" s="50">
        <f ca="1">IF($BH141=0,IF($CO141="",CJ140+R141,IF('283'!$K$251=1,VLOOKUP($CO141,PerStBal,2)+R141,IF('283'!$K$253=1,(VLOOKUP($CO141,PerPortion,2)*VLOOKUP($CO141,PerStBal,6))+R141,GL!BS141))),0)</f>
        <v>0</v>
      </c>
      <c r="CK141" s="425">
        <f ca="1">IF($BH141=0,IF($CO141="",CK140+T141,IF('283'!$K$251=1,IF(mname2&lt;&gt;"",VLOOKUP($CO141,PerStBal,3)+T141,0),IF('283'!$K$253=1,(VLOOKUP($CO141,PerPortion,3)*VLOOKUP($CO141,PerStBal,6))+T141,GL!BT141))),0)</f>
        <v>0</v>
      </c>
      <c r="CL141" s="425">
        <f ca="1">IF($BH141=0,IF($CO141="",CL140+V141,IF('283'!$K$251=1,IF(mname3&lt;&gt;"",VLOOKUP($CO141,PerStBal,4)+V141,0),IF('283'!$K$253=1,(VLOOKUP($CO141,PerPortion,4)*VLOOKUP($CO141,PerStBal,6))+V141,GL!BU141))),0)</f>
        <v>0</v>
      </c>
      <c r="CM141" s="425">
        <f ca="1">IF($BH141=0,IF($CO141="",CM140+X141,IF('283'!$K$251=1,IF(mname4&lt;&gt;"",VLOOKUP($CO141,PerStBal,5)+X141,0),IF('283'!$K$253=1,(VLOOKUP($CO141,PerPortion,5)*VLOOKUP($CO141,PerStBal,6))+X141,GL!BV141))),0)</f>
        <v>0</v>
      </c>
      <c r="CN141" s="50">
        <f t="shared" ca="1" si="220"/>
        <v>0</v>
      </c>
      <c r="CO141" s="4" t="str">
        <f t="shared" ca="1" si="221"/>
        <v/>
      </c>
      <c r="CP141" s="377">
        <f t="shared" si="182"/>
        <v>0</v>
      </c>
      <c r="DI141" s="4">
        <f t="shared" si="222"/>
        <v>45245</v>
      </c>
      <c r="DJ141" s="112">
        <f t="shared" ca="1" si="223"/>
        <v>0</v>
      </c>
      <c r="DK141" s="112">
        <f t="shared" si="224"/>
        <v>0</v>
      </c>
      <c r="DL141" s="4">
        <f t="shared" si="225"/>
        <v>45245</v>
      </c>
      <c r="DM141" s="112">
        <f t="shared" ca="1" si="226"/>
        <v>0</v>
      </c>
      <c r="DN141" s="112">
        <f t="shared" si="227"/>
        <v>0</v>
      </c>
      <c r="DO141" s="4">
        <f t="shared" si="228"/>
        <v>45245</v>
      </c>
      <c r="DP141" s="112">
        <f t="shared" ca="1" si="229"/>
        <v>0</v>
      </c>
      <c r="DQ141" s="112">
        <f t="shared" si="230"/>
        <v>0</v>
      </c>
      <c r="DR141" s="4">
        <f t="shared" si="231"/>
        <v>45245</v>
      </c>
      <c r="DS141" s="112">
        <f t="shared" ca="1" si="232"/>
        <v>0</v>
      </c>
      <c r="DT141" s="112">
        <f t="shared" si="233"/>
        <v>0</v>
      </c>
      <c r="DU141" s="4">
        <f t="shared" si="234"/>
        <v>45245</v>
      </c>
      <c r="DV141" s="112">
        <f t="shared" si="235"/>
        <v>0</v>
      </c>
      <c r="DW141" s="112">
        <f t="shared" si="236"/>
        <v>0</v>
      </c>
    </row>
    <row r="142" spans="2:127" x14ac:dyDescent="0.25">
      <c r="B142" s="74">
        <f t="shared" si="174"/>
        <v>183</v>
      </c>
      <c r="C142" s="84">
        <f t="shared" si="237"/>
        <v>0</v>
      </c>
      <c r="D142" s="84">
        <f t="shared" si="237"/>
        <v>0</v>
      </c>
      <c r="E142" s="84">
        <f t="shared" si="237"/>
        <v>0</v>
      </c>
      <c r="F142" s="84">
        <f t="shared" si="237"/>
        <v>0</v>
      </c>
      <c r="H142" s="75">
        <f t="shared" si="168"/>
        <v>183</v>
      </c>
      <c r="I142" s="77">
        <f t="shared" si="169"/>
        <v>0</v>
      </c>
      <c r="J142" s="77">
        <f t="shared" si="170"/>
        <v>0</v>
      </c>
      <c r="K142" s="77">
        <f t="shared" si="171"/>
        <v>0</v>
      </c>
      <c r="L142" s="77">
        <f t="shared" si="172"/>
        <v>0</v>
      </c>
      <c r="M142" s="77">
        <f t="shared" si="173"/>
        <v>0</v>
      </c>
      <c r="Q142" s="4">
        <f t="shared" si="183"/>
        <v>45246</v>
      </c>
      <c r="R142" s="24">
        <f t="shared" si="184"/>
        <v>0</v>
      </c>
      <c r="S142" s="25">
        <f t="shared" si="185"/>
        <v>0</v>
      </c>
      <c r="T142" s="24">
        <f t="shared" si="186"/>
        <v>0</v>
      </c>
      <c r="U142" s="25">
        <f t="shared" si="187"/>
        <v>0</v>
      </c>
      <c r="V142" s="24">
        <f t="shared" si="188"/>
        <v>0</v>
      </c>
      <c r="W142" s="25">
        <f t="shared" si="189"/>
        <v>0</v>
      </c>
      <c r="X142" s="24">
        <f t="shared" si="190"/>
        <v>0</v>
      </c>
      <c r="Y142" s="26">
        <f t="shared" si="191"/>
        <v>0</v>
      </c>
      <c r="Z142" s="27">
        <f t="shared" si="192"/>
        <v>0</v>
      </c>
      <c r="AA142" s="28">
        <f t="shared" si="193"/>
        <v>45246</v>
      </c>
      <c r="AB142" s="24">
        <f t="shared" si="194"/>
        <v>0</v>
      </c>
      <c r="AC142" s="25">
        <f t="shared" si="195"/>
        <v>0</v>
      </c>
      <c r="AD142" s="28">
        <f t="shared" si="196"/>
        <v>45246</v>
      </c>
      <c r="AE142" s="24">
        <f t="shared" si="197"/>
        <v>0</v>
      </c>
      <c r="AF142" s="25">
        <f t="shared" si="198"/>
        <v>0</v>
      </c>
      <c r="AG142" s="28">
        <f t="shared" si="199"/>
        <v>45246</v>
      </c>
      <c r="AH142" s="24">
        <f t="shared" si="200"/>
        <v>0</v>
      </c>
      <c r="AI142" s="25">
        <f t="shared" si="201"/>
        <v>0</v>
      </c>
      <c r="AJ142" s="28">
        <f t="shared" si="202"/>
        <v>45246</v>
      </c>
      <c r="AK142" s="24">
        <f t="shared" si="203"/>
        <v>0</v>
      </c>
      <c r="AL142" s="25">
        <f t="shared" si="204"/>
        <v>0</v>
      </c>
      <c r="AM142" s="29">
        <f t="shared" si="205"/>
        <v>0</v>
      </c>
      <c r="AN142" s="28">
        <f t="shared" si="206"/>
        <v>45246</v>
      </c>
      <c r="AO142" s="373">
        <f t="shared" si="175"/>
        <v>0</v>
      </c>
      <c r="AP142" s="374">
        <f t="shared" si="176"/>
        <v>0</v>
      </c>
      <c r="AQ142" s="27">
        <f t="shared" si="177"/>
        <v>0</v>
      </c>
      <c r="AR142" s="25">
        <f t="shared" si="178"/>
        <v>0</v>
      </c>
      <c r="AS142" s="25">
        <f t="shared" si="179"/>
        <v>0</v>
      </c>
      <c r="AT142" s="25">
        <f t="shared" si="180"/>
        <v>0</v>
      </c>
      <c r="AU142" s="29">
        <f t="shared" si="238"/>
        <v>0</v>
      </c>
      <c r="AV142" s="27">
        <f t="shared" si="207"/>
        <v>0</v>
      </c>
      <c r="AW142" s="27">
        <f t="shared" si="208"/>
        <v>0</v>
      </c>
      <c r="AX142" s="27">
        <f t="shared" si="209"/>
        <v>0</v>
      </c>
      <c r="AY142" s="27">
        <f t="shared" si="210"/>
        <v>0</v>
      </c>
      <c r="BH142" s="2">
        <f t="shared" si="211"/>
        <v>0</v>
      </c>
      <c r="BI142" s="298" t="str">
        <f t="shared" si="212"/>
        <v/>
      </c>
      <c r="BJ142" s="298" t="str">
        <f t="shared" si="181"/>
        <v/>
      </c>
      <c r="BQ142" s="4">
        <f t="shared" si="213"/>
        <v>45246</v>
      </c>
      <c r="BR142" s="112">
        <f t="shared" si="214"/>
        <v>0</v>
      </c>
      <c r="BS142" s="112">
        <f t="shared" si="215"/>
        <v>0</v>
      </c>
      <c r="BT142" s="112">
        <f t="shared" si="216"/>
        <v>0</v>
      </c>
      <c r="BU142" s="112">
        <f t="shared" si="217"/>
        <v>0</v>
      </c>
      <c r="BV142" s="112">
        <f t="shared" si="218"/>
        <v>0</v>
      </c>
      <c r="CI142" s="4">
        <f t="shared" si="219"/>
        <v>45246</v>
      </c>
      <c r="CJ142" s="50">
        <f ca="1">IF($BH142=0,IF($CO142="",CJ141+R142,IF('283'!$K$251=1,VLOOKUP($CO142,PerStBal,2)+R142,IF('283'!$K$253=1,(VLOOKUP($CO142,PerPortion,2)*VLOOKUP($CO142,PerStBal,6))+R142,GL!BS142))),0)</f>
        <v>0</v>
      </c>
      <c r="CK142" s="425">
        <f ca="1">IF($BH142=0,IF($CO142="",CK141+T142,IF('283'!$K$251=1,IF(mname2&lt;&gt;"",VLOOKUP($CO142,PerStBal,3)+T142,0),IF('283'!$K$253=1,(VLOOKUP($CO142,PerPortion,3)*VLOOKUP($CO142,PerStBal,6))+T142,GL!BT142))),0)</f>
        <v>0</v>
      </c>
      <c r="CL142" s="425">
        <f ca="1">IF($BH142=0,IF($CO142="",CL141+V142,IF('283'!$K$251=1,IF(mname3&lt;&gt;"",VLOOKUP($CO142,PerStBal,4)+V142,0),IF('283'!$K$253=1,(VLOOKUP($CO142,PerPortion,4)*VLOOKUP($CO142,PerStBal,6))+V142,GL!BU142))),0)</f>
        <v>0</v>
      </c>
      <c r="CM142" s="425">
        <f ca="1">IF($BH142=0,IF($CO142="",CM141+X142,IF('283'!$K$251=1,IF(mname4&lt;&gt;"",VLOOKUP($CO142,PerStBal,5)+X142,0),IF('283'!$K$253=1,(VLOOKUP($CO142,PerPortion,5)*VLOOKUP($CO142,PerStBal,6))+X142,GL!BV142))),0)</f>
        <v>0</v>
      </c>
      <c r="CN142" s="50">
        <f t="shared" ca="1" si="220"/>
        <v>0</v>
      </c>
      <c r="CO142" s="4" t="str">
        <f t="shared" ca="1" si="221"/>
        <v/>
      </c>
      <c r="CP142" s="377">
        <f t="shared" si="182"/>
        <v>0</v>
      </c>
      <c r="DI142" s="4">
        <f t="shared" si="222"/>
        <v>45246</v>
      </c>
      <c r="DJ142" s="112">
        <f t="shared" ca="1" si="223"/>
        <v>0</v>
      </c>
      <c r="DK142" s="112">
        <f t="shared" si="224"/>
        <v>0</v>
      </c>
      <c r="DL142" s="4">
        <f t="shared" si="225"/>
        <v>45246</v>
      </c>
      <c r="DM142" s="112">
        <f t="shared" ca="1" si="226"/>
        <v>0</v>
      </c>
      <c r="DN142" s="112">
        <f t="shared" si="227"/>
        <v>0</v>
      </c>
      <c r="DO142" s="4">
        <f t="shared" si="228"/>
        <v>45246</v>
      </c>
      <c r="DP142" s="112">
        <f t="shared" ca="1" si="229"/>
        <v>0</v>
      </c>
      <c r="DQ142" s="112">
        <f t="shared" si="230"/>
        <v>0</v>
      </c>
      <c r="DR142" s="4">
        <f t="shared" si="231"/>
        <v>45246</v>
      </c>
      <c r="DS142" s="112">
        <f t="shared" ca="1" si="232"/>
        <v>0</v>
      </c>
      <c r="DT142" s="112">
        <f t="shared" si="233"/>
        <v>0</v>
      </c>
      <c r="DU142" s="4">
        <f t="shared" si="234"/>
        <v>45246</v>
      </c>
      <c r="DV142" s="112">
        <f t="shared" si="235"/>
        <v>0</v>
      </c>
      <c r="DW142" s="112">
        <f t="shared" si="236"/>
        <v>0</v>
      </c>
    </row>
    <row r="143" spans="2:127" x14ac:dyDescent="0.25">
      <c r="B143" s="74">
        <f t="shared" si="174"/>
        <v>183</v>
      </c>
      <c r="C143" s="84">
        <f t="shared" si="237"/>
        <v>0</v>
      </c>
      <c r="D143" s="84">
        <f t="shared" si="237"/>
        <v>0</v>
      </c>
      <c r="E143" s="84">
        <f t="shared" si="237"/>
        <v>0</v>
      </c>
      <c r="F143" s="84">
        <f t="shared" si="237"/>
        <v>0</v>
      </c>
      <c r="H143" s="75">
        <f t="shared" si="168"/>
        <v>183</v>
      </c>
      <c r="I143" s="77">
        <f t="shared" si="169"/>
        <v>0</v>
      </c>
      <c r="J143" s="77">
        <f t="shared" si="170"/>
        <v>0</v>
      </c>
      <c r="K143" s="77">
        <f t="shared" si="171"/>
        <v>0</v>
      </c>
      <c r="L143" s="77">
        <f t="shared" si="172"/>
        <v>0</v>
      </c>
      <c r="M143" s="77">
        <f t="shared" si="173"/>
        <v>0</v>
      </c>
      <c r="Q143" s="4">
        <f t="shared" si="183"/>
        <v>45247</v>
      </c>
      <c r="R143" s="24">
        <f t="shared" si="184"/>
        <v>0</v>
      </c>
      <c r="S143" s="25">
        <f t="shared" si="185"/>
        <v>0</v>
      </c>
      <c r="T143" s="24">
        <f t="shared" si="186"/>
        <v>0</v>
      </c>
      <c r="U143" s="25">
        <f t="shared" si="187"/>
        <v>0</v>
      </c>
      <c r="V143" s="24">
        <f t="shared" si="188"/>
        <v>0</v>
      </c>
      <c r="W143" s="25">
        <f t="shared" si="189"/>
        <v>0</v>
      </c>
      <c r="X143" s="24">
        <f t="shared" si="190"/>
        <v>0</v>
      </c>
      <c r="Y143" s="26">
        <f t="shared" si="191"/>
        <v>0</v>
      </c>
      <c r="Z143" s="27">
        <f t="shared" si="192"/>
        <v>0</v>
      </c>
      <c r="AA143" s="28">
        <f t="shared" si="193"/>
        <v>45247</v>
      </c>
      <c r="AB143" s="24">
        <f t="shared" si="194"/>
        <v>0</v>
      </c>
      <c r="AC143" s="25">
        <f t="shared" si="195"/>
        <v>0</v>
      </c>
      <c r="AD143" s="28">
        <f t="shared" si="196"/>
        <v>45247</v>
      </c>
      <c r="AE143" s="24">
        <f t="shared" si="197"/>
        <v>0</v>
      </c>
      <c r="AF143" s="25">
        <f t="shared" si="198"/>
        <v>0</v>
      </c>
      <c r="AG143" s="28">
        <f t="shared" si="199"/>
        <v>45247</v>
      </c>
      <c r="AH143" s="24">
        <f t="shared" si="200"/>
        <v>0</v>
      </c>
      <c r="AI143" s="25">
        <f t="shared" si="201"/>
        <v>0</v>
      </c>
      <c r="AJ143" s="28">
        <f t="shared" si="202"/>
        <v>45247</v>
      </c>
      <c r="AK143" s="24">
        <f t="shared" si="203"/>
        <v>0</v>
      </c>
      <c r="AL143" s="25">
        <f t="shared" si="204"/>
        <v>0</v>
      </c>
      <c r="AM143" s="29">
        <f t="shared" si="205"/>
        <v>0</v>
      </c>
      <c r="AN143" s="28">
        <f t="shared" si="206"/>
        <v>45247</v>
      </c>
      <c r="AO143" s="373">
        <f t="shared" si="175"/>
        <v>0</v>
      </c>
      <c r="AP143" s="374">
        <f t="shared" si="176"/>
        <v>0</v>
      </c>
      <c r="AQ143" s="27">
        <f t="shared" si="177"/>
        <v>0</v>
      </c>
      <c r="AR143" s="25">
        <f t="shared" si="178"/>
        <v>0</v>
      </c>
      <c r="AS143" s="25">
        <f t="shared" si="179"/>
        <v>0</v>
      </c>
      <c r="AT143" s="25">
        <f t="shared" si="180"/>
        <v>0</v>
      </c>
      <c r="AU143" s="29">
        <f t="shared" si="238"/>
        <v>0</v>
      </c>
      <c r="AV143" s="27">
        <f t="shared" si="207"/>
        <v>0</v>
      </c>
      <c r="AW143" s="27">
        <f t="shared" si="208"/>
        <v>0</v>
      </c>
      <c r="AX143" s="27">
        <f t="shared" si="209"/>
        <v>0</v>
      </c>
      <c r="AY143" s="27">
        <f t="shared" si="210"/>
        <v>0</v>
      </c>
      <c r="BH143" s="2">
        <f t="shared" si="211"/>
        <v>0</v>
      </c>
      <c r="BI143" s="298" t="str">
        <f t="shared" si="212"/>
        <v/>
      </c>
      <c r="BJ143" s="298" t="str">
        <f t="shared" si="181"/>
        <v/>
      </c>
      <c r="BQ143" s="4">
        <f t="shared" si="213"/>
        <v>45247</v>
      </c>
      <c r="BR143" s="112">
        <f t="shared" si="214"/>
        <v>0</v>
      </c>
      <c r="BS143" s="112">
        <f t="shared" si="215"/>
        <v>0</v>
      </c>
      <c r="BT143" s="112">
        <f t="shared" si="216"/>
        <v>0</v>
      </c>
      <c r="BU143" s="112">
        <f t="shared" si="217"/>
        <v>0</v>
      </c>
      <c r="BV143" s="112">
        <f t="shared" si="218"/>
        <v>0</v>
      </c>
      <c r="CI143" s="4">
        <f t="shared" si="219"/>
        <v>45247</v>
      </c>
      <c r="CJ143" s="50">
        <f ca="1">IF($BH143=0,IF($CO143="",CJ142+R143,IF('283'!$K$251=1,VLOOKUP($CO143,PerStBal,2)+R143,IF('283'!$K$253=1,(VLOOKUP($CO143,PerPortion,2)*VLOOKUP($CO143,PerStBal,6))+R143,GL!BS143))),0)</f>
        <v>0</v>
      </c>
      <c r="CK143" s="425">
        <f ca="1">IF($BH143=0,IF($CO143="",CK142+T143,IF('283'!$K$251=1,IF(mname2&lt;&gt;"",VLOOKUP($CO143,PerStBal,3)+T143,0),IF('283'!$K$253=1,(VLOOKUP($CO143,PerPortion,3)*VLOOKUP($CO143,PerStBal,6))+T143,GL!BT143))),0)</f>
        <v>0</v>
      </c>
      <c r="CL143" s="425">
        <f ca="1">IF($BH143=0,IF($CO143="",CL142+V143,IF('283'!$K$251=1,IF(mname3&lt;&gt;"",VLOOKUP($CO143,PerStBal,4)+V143,0),IF('283'!$K$253=1,(VLOOKUP($CO143,PerPortion,4)*VLOOKUP($CO143,PerStBal,6))+V143,GL!BU143))),0)</f>
        <v>0</v>
      </c>
      <c r="CM143" s="425">
        <f ca="1">IF($BH143=0,IF($CO143="",CM142+X143,IF('283'!$K$251=1,IF(mname4&lt;&gt;"",VLOOKUP($CO143,PerStBal,5)+X143,0),IF('283'!$K$253=1,(VLOOKUP($CO143,PerPortion,5)*VLOOKUP($CO143,PerStBal,6))+X143,GL!BV143))),0)</f>
        <v>0</v>
      </c>
      <c r="CN143" s="50">
        <f t="shared" ca="1" si="220"/>
        <v>0</v>
      </c>
      <c r="CO143" s="4" t="str">
        <f t="shared" ca="1" si="221"/>
        <v/>
      </c>
      <c r="CP143" s="377">
        <f t="shared" si="182"/>
        <v>0</v>
      </c>
      <c r="DI143" s="4">
        <f t="shared" si="222"/>
        <v>45247</v>
      </c>
      <c r="DJ143" s="112">
        <f t="shared" ca="1" si="223"/>
        <v>0</v>
      </c>
      <c r="DK143" s="112">
        <f t="shared" si="224"/>
        <v>0</v>
      </c>
      <c r="DL143" s="4">
        <f t="shared" si="225"/>
        <v>45247</v>
      </c>
      <c r="DM143" s="112">
        <f t="shared" ca="1" si="226"/>
        <v>0</v>
      </c>
      <c r="DN143" s="112">
        <f t="shared" si="227"/>
        <v>0</v>
      </c>
      <c r="DO143" s="4">
        <f t="shared" si="228"/>
        <v>45247</v>
      </c>
      <c r="DP143" s="112">
        <f t="shared" ca="1" si="229"/>
        <v>0</v>
      </c>
      <c r="DQ143" s="112">
        <f t="shared" si="230"/>
        <v>0</v>
      </c>
      <c r="DR143" s="4">
        <f t="shared" si="231"/>
        <v>45247</v>
      </c>
      <c r="DS143" s="112">
        <f t="shared" ca="1" si="232"/>
        <v>0</v>
      </c>
      <c r="DT143" s="112">
        <f t="shared" si="233"/>
        <v>0</v>
      </c>
      <c r="DU143" s="4">
        <f t="shared" si="234"/>
        <v>45247</v>
      </c>
      <c r="DV143" s="112">
        <f t="shared" si="235"/>
        <v>0</v>
      </c>
      <c r="DW143" s="112">
        <f t="shared" si="236"/>
        <v>0</v>
      </c>
    </row>
    <row r="144" spans="2:127" x14ac:dyDescent="0.25">
      <c r="B144" s="74">
        <f t="shared" si="174"/>
        <v>183</v>
      </c>
      <c r="C144" s="84">
        <f t="shared" si="237"/>
        <v>0</v>
      </c>
      <c r="D144" s="84">
        <f t="shared" si="237"/>
        <v>0</v>
      </c>
      <c r="E144" s="84">
        <f t="shared" si="237"/>
        <v>0</v>
      </c>
      <c r="F144" s="84">
        <f t="shared" si="237"/>
        <v>0</v>
      </c>
      <c r="H144" s="75">
        <f t="shared" si="168"/>
        <v>183</v>
      </c>
      <c r="I144" s="77">
        <f t="shared" si="169"/>
        <v>0</v>
      </c>
      <c r="J144" s="77">
        <f t="shared" si="170"/>
        <v>0</v>
      </c>
      <c r="K144" s="77">
        <f t="shared" si="171"/>
        <v>0</v>
      </c>
      <c r="L144" s="77">
        <f t="shared" si="172"/>
        <v>0</v>
      </c>
      <c r="M144" s="77">
        <f t="shared" si="173"/>
        <v>0</v>
      </c>
      <c r="Q144" s="4">
        <f t="shared" si="183"/>
        <v>45248</v>
      </c>
      <c r="R144" s="24">
        <f t="shared" si="184"/>
        <v>0</v>
      </c>
      <c r="S144" s="25">
        <f t="shared" si="185"/>
        <v>0</v>
      </c>
      <c r="T144" s="24">
        <f t="shared" si="186"/>
        <v>0</v>
      </c>
      <c r="U144" s="25">
        <f t="shared" si="187"/>
        <v>0</v>
      </c>
      <c r="V144" s="24">
        <f t="shared" si="188"/>
        <v>0</v>
      </c>
      <c r="W144" s="25">
        <f t="shared" si="189"/>
        <v>0</v>
      </c>
      <c r="X144" s="24">
        <f t="shared" si="190"/>
        <v>0</v>
      </c>
      <c r="Y144" s="26">
        <f t="shared" si="191"/>
        <v>0</v>
      </c>
      <c r="Z144" s="27">
        <f t="shared" si="192"/>
        <v>0</v>
      </c>
      <c r="AA144" s="28">
        <f t="shared" si="193"/>
        <v>45248</v>
      </c>
      <c r="AB144" s="24">
        <f t="shared" si="194"/>
        <v>0</v>
      </c>
      <c r="AC144" s="25">
        <f t="shared" si="195"/>
        <v>0</v>
      </c>
      <c r="AD144" s="28">
        <f t="shared" si="196"/>
        <v>45248</v>
      </c>
      <c r="AE144" s="24">
        <f t="shared" si="197"/>
        <v>0</v>
      </c>
      <c r="AF144" s="25">
        <f t="shared" si="198"/>
        <v>0</v>
      </c>
      <c r="AG144" s="28">
        <f t="shared" si="199"/>
        <v>45248</v>
      </c>
      <c r="AH144" s="24">
        <f t="shared" si="200"/>
        <v>0</v>
      </c>
      <c r="AI144" s="25">
        <f t="shared" si="201"/>
        <v>0</v>
      </c>
      <c r="AJ144" s="28">
        <f t="shared" si="202"/>
        <v>45248</v>
      </c>
      <c r="AK144" s="24">
        <f t="shared" si="203"/>
        <v>0</v>
      </c>
      <c r="AL144" s="25">
        <f t="shared" si="204"/>
        <v>0</v>
      </c>
      <c r="AM144" s="29">
        <f t="shared" si="205"/>
        <v>0</v>
      </c>
      <c r="AN144" s="28">
        <f t="shared" si="206"/>
        <v>45248</v>
      </c>
      <c r="AO144" s="373">
        <f t="shared" si="175"/>
        <v>0</v>
      </c>
      <c r="AP144" s="374">
        <f t="shared" si="176"/>
        <v>0</v>
      </c>
      <c r="AQ144" s="27">
        <f t="shared" si="177"/>
        <v>0</v>
      </c>
      <c r="AR144" s="25">
        <f t="shared" si="178"/>
        <v>0</v>
      </c>
      <c r="AS144" s="25">
        <f t="shared" si="179"/>
        <v>0</v>
      </c>
      <c r="AT144" s="25">
        <f t="shared" si="180"/>
        <v>0</v>
      </c>
      <c r="AU144" s="29">
        <f t="shared" si="238"/>
        <v>0</v>
      </c>
      <c r="AV144" s="27">
        <f t="shared" si="207"/>
        <v>0</v>
      </c>
      <c r="AW144" s="27">
        <f t="shared" si="208"/>
        <v>0</v>
      </c>
      <c r="AX144" s="27">
        <f t="shared" si="209"/>
        <v>0</v>
      </c>
      <c r="AY144" s="27">
        <f t="shared" si="210"/>
        <v>0</v>
      </c>
      <c r="BH144" s="2">
        <f t="shared" si="211"/>
        <v>0</v>
      </c>
      <c r="BI144" s="298" t="str">
        <f t="shared" si="212"/>
        <v/>
      </c>
      <c r="BJ144" s="298" t="str">
        <f t="shared" si="181"/>
        <v/>
      </c>
      <c r="BQ144" s="4">
        <f t="shared" si="213"/>
        <v>45248</v>
      </c>
      <c r="BR144" s="112">
        <f t="shared" si="214"/>
        <v>0</v>
      </c>
      <c r="BS144" s="112">
        <f t="shared" si="215"/>
        <v>0</v>
      </c>
      <c r="BT144" s="112">
        <f t="shared" si="216"/>
        <v>0</v>
      </c>
      <c r="BU144" s="112">
        <f t="shared" si="217"/>
        <v>0</v>
      </c>
      <c r="BV144" s="112">
        <f t="shared" si="218"/>
        <v>0</v>
      </c>
      <c r="CI144" s="4">
        <f t="shared" si="219"/>
        <v>45248</v>
      </c>
      <c r="CJ144" s="50">
        <f ca="1">IF($BH144=0,IF($CO144="",CJ143+R144,IF('283'!$K$251=1,VLOOKUP($CO144,PerStBal,2)+R144,IF('283'!$K$253=1,(VLOOKUP($CO144,PerPortion,2)*VLOOKUP($CO144,PerStBal,6))+R144,GL!BS144))),0)</f>
        <v>0</v>
      </c>
      <c r="CK144" s="425">
        <f ca="1">IF($BH144=0,IF($CO144="",CK143+T144,IF('283'!$K$251=1,IF(mname2&lt;&gt;"",VLOOKUP($CO144,PerStBal,3)+T144,0),IF('283'!$K$253=1,(VLOOKUP($CO144,PerPortion,3)*VLOOKUP($CO144,PerStBal,6))+T144,GL!BT144))),0)</f>
        <v>0</v>
      </c>
      <c r="CL144" s="425">
        <f ca="1">IF($BH144=0,IF($CO144="",CL143+V144,IF('283'!$K$251=1,IF(mname3&lt;&gt;"",VLOOKUP($CO144,PerStBal,4)+V144,0),IF('283'!$K$253=1,(VLOOKUP($CO144,PerPortion,4)*VLOOKUP($CO144,PerStBal,6))+V144,GL!BU144))),0)</f>
        <v>0</v>
      </c>
      <c r="CM144" s="425">
        <f ca="1">IF($BH144=0,IF($CO144="",CM143+X144,IF('283'!$K$251=1,IF(mname4&lt;&gt;"",VLOOKUP($CO144,PerStBal,5)+X144,0),IF('283'!$K$253=1,(VLOOKUP($CO144,PerPortion,5)*VLOOKUP($CO144,PerStBal,6))+X144,GL!BV144))),0)</f>
        <v>0</v>
      </c>
      <c r="CN144" s="50">
        <f t="shared" ca="1" si="220"/>
        <v>0</v>
      </c>
      <c r="CO144" s="4" t="str">
        <f t="shared" ca="1" si="221"/>
        <v/>
      </c>
      <c r="CP144" s="377">
        <f t="shared" si="182"/>
        <v>0</v>
      </c>
      <c r="DI144" s="4">
        <f t="shared" si="222"/>
        <v>45248</v>
      </c>
      <c r="DJ144" s="112">
        <f t="shared" ca="1" si="223"/>
        <v>0</v>
      </c>
      <c r="DK144" s="112">
        <f t="shared" si="224"/>
        <v>0</v>
      </c>
      <c r="DL144" s="4">
        <f t="shared" si="225"/>
        <v>45248</v>
      </c>
      <c r="DM144" s="112">
        <f t="shared" ca="1" si="226"/>
        <v>0</v>
      </c>
      <c r="DN144" s="112">
        <f t="shared" si="227"/>
        <v>0</v>
      </c>
      <c r="DO144" s="4">
        <f t="shared" si="228"/>
        <v>45248</v>
      </c>
      <c r="DP144" s="112">
        <f t="shared" ca="1" si="229"/>
        <v>0</v>
      </c>
      <c r="DQ144" s="112">
        <f t="shared" si="230"/>
        <v>0</v>
      </c>
      <c r="DR144" s="4">
        <f t="shared" si="231"/>
        <v>45248</v>
      </c>
      <c r="DS144" s="112">
        <f t="shared" ca="1" si="232"/>
        <v>0</v>
      </c>
      <c r="DT144" s="112">
        <f t="shared" si="233"/>
        <v>0</v>
      </c>
      <c r="DU144" s="4">
        <f t="shared" si="234"/>
        <v>45248</v>
      </c>
      <c r="DV144" s="112">
        <f t="shared" si="235"/>
        <v>0</v>
      </c>
      <c r="DW144" s="112">
        <f t="shared" si="236"/>
        <v>0</v>
      </c>
    </row>
    <row r="145" spans="2:127" x14ac:dyDescent="0.25">
      <c r="B145" s="74">
        <f t="shared" si="174"/>
        <v>183</v>
      </c>
      <c r="C145" s="84">
        <f t="shared" si="237"/>
        <v>0</v>
      </c>
      <c r="D145" s="84">
        <f t="shared" si="237"/>
        <v>0</v>
      </c>
      <c r="E145" s="84">
        <f t="shared" si="237"/>
        <v>0</v>
      </c>
      <c r="F145" s="84">
        <f t="shared" si="237"/>
        <v>0</v>
      </c>
      <c r="H145" s="75">
        <f t="shared" si="168"/>
        <v>183</v>
      </c>
      <c r="I145" s="77">
        <f t="shared" si="169"/>
        <v>0</v>
      </c>
      <c r="J145" s="77">
        <f t="shared" si="170"/>
        <v>0</v>
      </c>
      <c r="K145" s="77">
        <f t="shared" si="171"/>
        <v>0</v>
      </c>
      <c r="L145" s="77">
        <f t="shared" si="172"/>
        <v>0</v>
      </c>
      <c r="M145" s="77">
        <f t="shared" si="173"/>
        <v>0</v>
      </c>
      <c r="Q145" s="4">
        <f t="shared" si="183"/>
        <v>45249</v>
      </c>
      <c r="R145" s="24">
        <f t="shared" si="184"/>
        <v>0</v>
      </c>
      <c r="S145" s="25">
        <f t="shared" si="185"/>
        <v>0</v>
      </c>
      <c r="T145" s="24">
        <f t="shared" si="186"/>
        <v>0</v>
      </c>
      <c r="U145" s="25">
        <f t="shared" si="187"/>
        <v>0</v>
      </c>
      <c r="V145" s="24">
        <f t="shared" si="188"/>
        <v>0</v>
      </c>
      <c r="W145" s="25">
        <f t="shared" si="189"/>
        <v>0</v>
      </c>
      <c r="X145" s="24">
        <f t="shared" si="190"/>
        <v>0</v>
      </c>
      <c r="Y145" s="26">
        <f t="shared" si="191"/>
        <v>0</v>
      </c>
      <c r="Z145" s="27">
        <f t="shared" si="192"/>
        <v>0</v>
      </c>
      <c r="AA145" s="28">
        <f t="shared" si="193"/>
        <v>45249</v>
      </c>
      <c r="AB145" s="24">
        <f t="shared" si="194"/>
        <v>0</v>
      </c>
      <c r="AC145" s="25">
        <f t="shared" si="195"/>
        <v>0</v>
      </c>
      <c r="AD145" s="28">
        <f t="shared" si="196"/>
        <v>45249</v>
      </c>
      <c r="AE145" s="24">
        <f t="shared" si="197"/>
        <v>0</v>
      </c>
      <c r="AF145" s="25">
        <f t="shared" si="198"/>
        <v>0</v>
      </c>
      <c r="AG145" s="28">
        <f t="shared" si="199"/>
        <v>45249</v>
      </c>
      <c r="AH145" s="24">
        <f t="shared" si="200"/>
        <v>0</v>
      </c>
      <c r="AI145" s="25">
        <f t="shared" si="201"/>
        <v>0</v>
      </c>
      <c r="AJ145" s="28">
        <f t="shared" si="202"/>
        <v>45249</v>
      </c>
      <c r="AK145" s="24">
        <f t="shared" si="203"/>
        <v>0</v>
      </c>
      <c r="AL145" s="25">
        <f t="shared" si="204"/>
        <v>0</v>
      </c>
      <c r="AM145" s="29">
        <f t="shared" si="205"/>
        <v>0</v>
      </c>
      <c r="AN145" s="28">
        <f t="shared" si="206"/>
        <v>45249</v>
      </c>
      <c r="AO145" s="373">
        <f t="shared" si="175"/>
        <v>0</v>
      </c>
      <c r="AP145" s="374">
        <f t="shared" si="176"/>
        <v>0</v>
      </c>
      <c r="AQ145" s="27">
        <f t="shared" si="177"/>
        <v>0</v>
      </c>
      <c r="AR145" s="25">
        <f t="shared" si="178"/>
        <v>0</v>
      </c>
      <c r="AS145" s="25">
        <f t="shared" si="179"/>
        <v>0</v>
      </c>
      <c r="AT145" s="25">
        <f t="shared" si="180"/>
        <v>0</v>
      </c>
      <c r="AU145" s="29">
        <f t="shared" si="238"/>
        <v>0</v>
      </c>
      <c r="AV145" s="27">
        <f t="shared" si="207"/>
        <v>0</v>
      </c>
      <c r="AW145" s="27">
        <f t="shared" si="208"/>
        <v>0</v>
      </c>
      <c r="AX145" s="27">
        <f t="shared" si="209"/>
        <v>0</v>
      </c>
      <c r="AY145" s="27">
        <f t="shared" si="210"/>
        <v>0</v>
      </c>
      <c r="BH145" s="2">
        <f t="shared" si="211"/>
        <v>0</v>
      </c>
      <c r="BI145" s="298" t="str">
        <f t="shared" si="212"/>
        <v/>
      </c>
      <c r="BJ145" s="298" t="str">
        <f t="shared" si="181"/>
        <v/>
      </c>
      <c r="BQ145" s="4">
        <f t="shared" si="213"/>
        <v>45249</v>
      </c>
      <c r="BR145" s="112">
        <f t="shared" si="214"/>
        <v>0</v>
      </c>
      <c r="BS145" s="112">
        <f t="shared" si="215"/>
        <v>0</v>
      </c>
      <c r="BT145" s="112">
        <f t="shared" si="216"/>
        <v>0</v>
      </c>
      <c r="BU145" s="112">
        <f t="shared" si="217"/>
        <v>0</v>
      </c>
      <c r="BV145" s="112">
        <f t="shared" si="218"/>
        <v>0</v>
      </c>
      <c r="CI145" s="4">
        <f t="shared" si="219"/>
        <v>45249</v>
      </c>
      <c r="CJ145" s="50">
        <f ca="1">IF($BH145=0,IF($CO145="",CJ144+R145,IF('283'!$K$251=1,VLOOKUP($CO145,PerStBal,2)+R145,IF('283'!$K$253=1,(VLOOKUP($CO145,PerPortion,2)*VLOOKUP($CO145,PerStBal,6))+R145,GL!BS145))),0)</f>
        <v>0</v>
      </c>
      <c r="CK145" s="425">
        <f ca="1">IF($BH145=0,IF($CO145="",CK144+T145,IF('283'!$K$251=1,IF(mname2&lt;&gt;"",VLOOKUP($CO145,PerStBal,3)+T145,0),IF('283'!$K$253=1,(VLOOKUP($CO145,PerPortion,3)*VLOOKUP($CO145,PerStBal,6))+T145,GL!BT145))),0)</f>
        <v>0</v>
      </c>
      <c r="CL145" s="425">
        <f ca="1">IF($BH145=0,IF($CO145="",CL144+V145,IF('283'!$K$251=1,IF(mname3&lt;&gt;"",VLOOKUP($CO145,PerStBal,4)+V145,0),IF('283'!$K$253=1,(VLOOKUP($CO145,PerPortion,4)*VLOOKUP($CO145,PerStBal,6))+V145,GL!BU145))),0)</f>
        <v>0</v>
      </c>
      <c r="CM145" s="425">
        <f ca="1">IF($BH145=0,IF($CO145="",CM144+X145,IF('283'!$K$251=1,IF(mname4&lt;&gt;"",VLOOKUP($CO145,PerStBal,5)+X145,0),IF('283'!$K$253=1,(VLOOKUP($CO145,PerPortion,5)*VLOOKUP($CO145,PerStBal,6))+X145,GL!BV145))),0)</f>
        <v>0</v>
      </c>
      <c r="CN145" s="50">
        <f t="shared" ca="1" si="220"/>
        <v>0</v>
      </c>
      <c r="CO145" s="4" t="str">
        <f t="shared" ca="1" si="221"/>
        <v/>
      </c>
      <c r="CP145" s="377">
        <f t="shared" si="182"/>
        <v>0</v>
      </c>
      <c r="DI145" s="4">
        <f t="shared" si="222"/>
        <v>45249</v>
      </c>
      <c r="DJ145" s="112">
        <f t="shared" ca="1" si="223"/>
        <v>0</v>
      </c>
      <c r="DK145" s="112">
        <f t="shared" si="224"/>
        <v>0</v>
      </c>
      <c r="DL145" s="4">
        <f t="shared" si="225"/>
        <v>45249</v>
      </c>
      <c r="DM145" s="112">
        <f t="shared" ca="1" si="226"/>
        <v>0</v>
      </c>
      <c r="DN145" s="112">
        <f t="shared" si="227"/>
        <v>0</v>
      </c>
      <c r="DO145" s="4">
        <f t="shared" si="228"/>
        <v>45249</v>
      </c>
      <c r="DP145" s="112">
        <f t="shared" ca="1" si="229"/>
        <v>0</v>
      </c>
      <c r="DQ145" s="112">
        <f t="shared" si="230"/>
        <v>0</v>
      </c>
      <c r="DR145" s="4">
        <f t="shared" si="231"/>
        <v>45249</v>
      </c>
      <c r="DS145" s="112">
        <f t="shared" ca="1" si="232"/>
        <v>0</v>
      </c>
      <c r="DT145" s="112">
        <f t="shared" si="233"/>
        <v>0</v>
      </c>
      <c r="DU145" s="4">
        <f t="shared" si="234"/>
        <v>45249</v>
      </c>
      <c r="DV145" s="112">
        <f t="shared" si="235"/>
        <v>0</v>
      </c>
      <c r="DW145" s="112">
        <f t="shared" si="236"/>
        <v>0</v>
      </c>
    </row>
    <row r="146" spans="2:127" x14ac:dyDescent="0.25">
      <c r="B146" s="74">
        <f t="shared" si="174"/>
        <v>183</v>
      </c>
      <c r="C146" s="84">
        <f t="shared" si="237"/>
        <v>0</v>
      </c>
      <c r="D146" s="84">
        <f t="shared" si="237"/>
        <v>0</v>
      </c>
      <c r="E146" s="84">
        <f t="shared" si="237"/>
        <v>0</v>
      </c>
      <c r="F146" s="84">
        <f t="shared" si="237"/>
        <v>0</v>
      </c>
      <c r="H146" s="75">
        <f t="shared" ref="H146:H177" si="239">IF(J37&lt;&gt;"",YearEnd-J37,DaysInYear/2)</f>
        <v>183</v>
      </c>
      <c r="I146" s="77">
        <f t="shared" ref="I146:I177" si="240">IF(AND($J37&lt;&gt;"",K37&lt;&gt;""),(YearEnd-$J37)/DaysInYear*+K37,0)</f>
        <v>0</v>
      </c>
      <c r="J146" s="77">
        <f t="shared" ref="J146:J177" si="241">IF(AND($J37&lt;&gt;"",L37&lt;&gt;""),(YearEnd-$J37)/DaysInYear*+L37,0)</f>
        <v>0</v>
      </c>
      <c r="K146" s="77">
        <f t="shared" ref="K146:K177" si="242">IF(AND($J37&lt;&gt;"",M37&lt;&gt;""),(YearEnd-$J37)/DaysInYear*+M37,0)</f>
        <v>0</v>
      </c>
      <c r="L146" s="77">
        <f t="shared" ref="L146:L177" si="243">IF(AND($J37&lt;&gt;"",N37&lt;&gt;""),(YearEnd-$J37)/DaysInYear*+N37,0)</f>
        <v>0</v>
      </c>
      <c r="M146" s="77">
        <f t="shared" ref="M146:M177" si="244">IF(AND($J37&lt;&gt;"",O37&lt;&gt;""),(YearEnd-$J37)/DaysInYear*+O37,0)</f>
        <v>0</v>
      </c>
      <c r="Q146" s="4">
        <f t="shared" si="183"/>
        <v>45250</v>
      </c>
      <c r="R146" s="24">
        <f t="shared" si="184"/>
        <v>0</v>
      </c>
      <c r="S146" s="25">
        <f t="shared" si="185"/>
        <v>0</v>
      </c>
      <c r="T146" s="24">
        <f t="shared" si="186"/>
        <v>0</v>
      </c>
      <c r="U146" s="25">
        <f t="shared" si="187"/>
        <v>0</v>
      </c>
      <c r="V146" s="24">
        <f t="shared" si="188"/>
        <v>0</v>
      </c>
      <c r="W146" s="25">
        <f t="shared" si="189"/>
        <v>0</v>
      </c>
      <c r="X146" s="24">
        <f t="shared" si="190"/>
        <v>0</v>
      </c>
      <c r="Y146" s="26">
        <f t="shared" si="191"/>
        <v>0</v>
      </c>
      <c r="Z146" s="27">
        <f t="shared" si="192"/>
        <v>0</v>
      </c>
      <c r="AA146" s="28">
        <f t="shared" si="193"/>
        <v>45250</v>
      </c>
      <c r="AB146" s="24">
        <f t="shared" si="194"/>
        <v>0</v>
      </c>
      <c r="AC146" s="25">
        <f t="shared" si="195"/>
        <v>0</v>
      </c>
      <c r="AD146" s="28">
        <f t="shared" si="196"/>
        <v>45250</v>
      </c>
      <c r="AE146" s="24">
        <f t="shared" si="197"/>
        <v>0</v>
      </c>
      <c r="AF146" s="25">
        <f t="shared" si="198"/>
        <v>0</v>
      </c>
      <c r="AG146" s="28">
        <f t="shared" si="199"/>
        <v>45250</v>
      </c>
      <c r="AH146" s="24">
        <f t="shared" si="200"/>
        <v>0</v>
      </c>
      <c r="AI146" s="25">
        <f t="shared" si="201"/>
        <v>0</v>
      </c>
      <c r="AJ146" s="28">
        <f t="shared" si="202"/>
        <v>45250</v>
      </c>
      <c r="AK146" s="24">
        <f t="shared" si="203"/>
        <v>0</v>
      </c>
      <c r="AL146" s="25">
        <f t="shared" si="204"/>
        <v>0</v>
      </c>
      <c r="AM146" s="29">
        <f t="shared" si="205"/>
        <v>0</v>
      </c>
      <c r="AN146" s="28">
        <f t="shared" si="206"/>
        <v>45250</v>
      </c>
      <c r="AO146" s="373">
        <f t="shared" si="175"/>
        <v>0</v>
      </c>
      <c r="AP146" s="374">
        <f t="shared" si="176"/>
        <v>0</v>
      </c>
      <c r="AQ146" s="27">
        <f t="shared" si="177"/>
        <v>0</v>
      </c>
      <c r="AR146" s="25">
        <f t="shared" si="178"/>
        <v>0</v>
      </c>
      <c r="AS146" s="25">
        <f t="shared" si="179"/>
        <v>0</v>
      </c>
      <c r="AT146" s="25">
        <f t="shared" si="180"/>
        <v>0</v>
      </c>
      <c r="AU146" s="29">
        <f t="shared" si="238"/>
        <v>0</v>
      </c>
      <c r="AV146" s="27">
        <f t="shared" si="207"/>
        <v>0</v>
      </c>
      <c r="AW146" s="27">
        <f t="shared" si="208"/>
        <v>0</v>
      </c>
      <c r="AX146" s="27">
        <f t="shared" si="209"/>
        <v>0</v>
      </c>
      <c r="AY146" s="27">
        <f t="shared" si="210"/>
        <v>0</v>
      </c>
      <c r="BH146" s="2">
        <f t="shared" si="211"/>
        <v>0</v>
      </c>
      <c r="BI146" s="298" t="str">
        <f t="shared" si="212"/>
        <v/>
      </c>
      <c r="BJ146" s="298" t="str">
        <f t="shared" si="181"/>
        <v/>
      </c>
      <c r="BQ146" s="4">
        <f t="shared" si="213"/>
        <v>45250</v>
      </c>
      <c r="BR146" s="112">
        <f t="shared" si="214"/>
        <v>0</v>
      </c>
      <c r="BS146" s="112">
        <f t="shared" si="215"/>
        <v>0</v>
      </c>
      <c r="BT146" s="112">
        <f t="shared" si="216"/>
        <v>0</v>
      </c>
      <c r="BU146" s="112">
        <f t="shared" si="217"/>
        <v>0</v>
      </c>
      <c r="BV146" s="112">
        <f t="shared" si="218"/>
        <v>0</v>
      </c>
      <c r="CI146" s="4">
        <f t="shared" si="219"/>
        <v>45250</v>
      </c>
      <c r="CJ146" s="50">
        <f ca="1">IF($BH146=0,IF($CO146="",CJ145+R146,IF('283'!$K$251=1,VLOOKUP($CO146,PerStBal,2)+R146,IF('283'!$K$253=1,(VLOOKUP($CO146,PerPortion,2)*VLOOKUP($CO146,PerStBal,6))+R146,GL!BS146))),0)</f>
        <v>0</v>
      </c>
      <c r="CK146" s="425">
        <f ca="1">IF($BH146=0,IF($CO146="",CK145+T146,IF('283'!$K$251=1,IF(mname2&lt;&gt;"",VLOOKUP($CO146,PerStBal,3)+T146,0),IF('283'!$K$253=1,(VLOOKUP($CO146,PerPortion,3)*VLOOKUP($CO146,PerStBal,6))+T146,GL!BT146))),0)</f>
        <v>0</v>
      </c>
      <c r="CL146" s="425">
        <f ca="1">IF($BH146=0,IF($CO146="",CL145+V146,IF('283'!$K$251=1,IF(mname3&lt;&gt;"",VLOOKUP($CO146,PerStBal,4)+V146,0),IF('283'!$K$253=1,(VLOOKUP($CO146,PerPortion,4)*VLOOKUP($CO146,PerStBal,6))+V146,GL!BU146))),0)</f>
        <v>0</v>
      </c>
      <c r="CM146" s="425">
        <f ca="1">IF($BH146=0,IF($CO146="",CM145+X146,IF('283'!$K$251=1,IF(mname4&lt;&gt;"",VLOOKUP($CO146,PerStBal,5)+X146,0),IF('283'!$K$253=1,(VLOOKUP($CO146,PerPortion,5)*VLOOKUP($CO146,PerStBal,6))+X146,GL!BV146))),0)</f>
        <v>0</v>
      </c>
      <c r="CN146" s="50">
        <f t="shared" ca="1" si="220"/>
        <v>0</v>
      </c>
      <c r="CO146" s="4" t="str">
        <f t="shared" ca="1" si="221"/>
        <v/>
      </c>
      <c r="CP146" s="377">
        <f t="shared" si="182"/>
        <v>0</v>
      </c>
      <c r="DI146" s="4">
        <f t="shared" si="222"/>
        <v>45250</v>
      </c>
      <c r="DJ146" s="112">
        <f t="shared" ca="1" si="223"/>
        <v>0</v>
      </c>
      <c r="DK146" s="112">
        <f t="shared" si="224"/>
        <v>0</v>
      </c>
      <c r="DL146" s="4">
        <f t="shared" si="225"/>
        <v>45250</v>
      </c>
      <c r="DM146" s="112">
        <f t="shared" ca="1" si="226"/>
        <v>0</v>
      </c>
      <c r="DN146" s="112">
        <f t="shared" si="227"/>
        <v>0</v>
      </c>
      <c r="DO146" s="4">
        <f t="shared" si="228"/>
        <v>45250</v>
      </c>
      <c r="DP146" s="112">
        <f t="shared" ca="1" si="229"/>
        <v>0</v>
      </c>
      <c r="DQ146" s="112">
        <f t="shared" si="230"/>
        <v>0</v>
      </c>
      <c r="DR146" s="4">
        <f t="shared" si="231"/>
        <v>45250</v>
      </c>
      <c r="DS146" s="112">
        <f t="shared" ca="1" si="232"/>
        <v>0</v>
      </c>
      <c r="DT146" s="112">
        <f t="shared" si="233"/>
        <v>0</v>
      </c>
      <c r="DU146" s="4">
        <f t="shared" si="234"/>
        <v>45250</v>
      </c>
      <c r="DV146" s="112">
        <f t="shared" si="235"/>
        <v>0</v>
      </c>
      <c r="DW146" s="112">
        <f t="shared" si="236"/>
        <v>0</v>
      </c>
    </row>
    <row r="147" spans="2:127" x14ac:dyDescent="0.25">
      <c r="B147" s="74">
        <f t="shared" si="174"/>
        <v>183</v>
      </c>
      <c r="C147" s="84">
        <f t="shared" si="237"/>
        <v>0</v>
      </c>
      <c r="D147" s="84">
        <f t="shared" si="237"/>
        <v>0</v>
      </c>
      <c r="E147" s="84">
        <f t="shared" si="237"/>
        <v>0</v>
      </c>
      <c r="F147" s="84">
        <f t="shared" si="237"/>
        <v>0</v>
      </c>
      <c r="H147" s="75">
        <f t="shared" si="239"/>
        <v>183</v>
      </c>
      <c r="I147" s="77">
        <f t="shared" si="240"/>
        <v>0</v>
      </c>
      <c r="J147" s="77">
        <f t="shared" si="241"/>
        <v>0</v>
      </c>
      <c r="K147" s="77">
        <f t="shared" si="242"/>
        <v>0</v>
      </c>
      <c r="L147" s="77">
        <f t="shared" si="243"/>
        <v>0</v>
      </c>
      <c r="M147" s="77">
        <f t="shared" si="244"/>
        <v>0</v>
      </c>
      <c r="Q147" s="4">
        <f t="shared" si="183"/>
        <v>45251</v>
      </c>
      <c r="R147" s="24">
        <f t="shared" si="184"/>
        <v>0</v>
      </c>
      <c r="S147" s="25">
        <f t="shared" si="185"/>
        <v>0</v>
      </c>
      <c r="T147" s="24">
        <f t="shared" si="186"/>
        <v>0</v>
      </c>
      <c r="U147" s="25">
        <f t="shared" si="187"/>
        <v>0</v>
      </c>
      <c r="V147" s="24">
        <f t="shared" si="188"/>
        <v>0</v>
      </c>
      <c r="W147" s="25">
        <f t="shared" si="189"/>
        <v>0</v>
      </c>
      <c r="X147" s="24">
        <f t="shared" si="190"/>
        <v>0</v>
      </c>
      <c r="Y147" s="26">
        <f t="shared" si="191"/>
        <v>0</v>
      </c>
      <c r="Z147" s="27">
        <f t="shared" si="192"/>
        <v>0</v>
      </c>
      <c r="AA147" s="28">
        <f t="shared" si="193"/>
        <v>45251</v>
      </c>
      <c r="AB147" s="24">
        <f t="shared" si="194"/>
        <v>0</v>
      </c>
      <c r="AC147" s="25">
        <f t="shared" si="195"/>
        <v>0</v>
      </c>
      <c r="AD147" s="28">
        <f t="shared" si="196"/>
        <v>45251</v>
      </c>
      <c r="AE147" s="24">
        <f t="shared" si="197"/>
        <v>0</v>
      </c>
      <c r="AF147" s="25">
        <f t="shared" si="198"/>
        <v>0</v>
      </c>
      <c r="AG147" s="28">
        <f t="shared" si="199"/>
        <v>45251</v>
      </c>
      <c r="AH147" s="24">
        <f t="shared" si="200"/>
        <v>0</v>
      </c>
      <c r="AI147" s="25">
        <f t="shared" si="201"/>
        <v>0</v>
      </c>
      <c r="AJ147" s="28">
        <f t="shared" si="202"/>
        <v>45251</v>
      </c>
      <c r="AK147" s="24">
        <f t="shared" si="203"/>
        <v>0</v>
      </c>
      <c r="AL147" s="25">
        <f t="shared" si="204"/>
        <v>0</v>
      </c>
      <c r="AM147" s="29">
        <f t="shared" si="205"/>
        <v>0</v>
      </c>
      <c r="AN147" s="28">
        <f t="shared" si="206"/>
        <v>45251</v>
      </c>
      <c r="AO147" s="373">
        <f t="shared" si="175"/>
        <v>0</v>
      </c>
      <c r="AP147" s="374">
        <f t="shared" si="176"/>
        <v>0</v>
      </c>
      <c r="AQ147" s="27">
        <f t="shared" si="177"/>
        <v>0</v>
      </c>
      <c r="AR147" s="25">
        <f t="shared" si="178"/>
        <v>0</v>
      </c>
      <c r="AS147" s="25">
        <f t="shared" si="179"/>
        <v>0</v>
      </c>
      <c r="AT147" s="25">
        <f t="shared" si="180"/>
        <v>0</v>
      </c>
      <c r="AU147" s="29">
        <f t="shared" si="238"/>
        <v>0</v>
      </c>
      <c r="AV147" s="27">
        <f t="shared" si="207"/>
        <v>0</v>
      </c>
      <c r="AW147" s="27">
        <f t="shared" si="208"/>
        <v>0</v>
      </c>
      <c r="AX147" s="27">
        <f t="shared" si="209"/>
        <v>0</v>
      </c>
      <c r="AY147" s="27">
        <f t="shared" si="210"/>
        <v>0</v>
      </c>
      <c r="BH147" s="2">
        <f t="shared" si="211"/>
        <v>0</v>
      </c>
      <c r="BI147" s="298" t="str">
        <f t="shared" si="212"/>
        <v/>
      </c>
      <c r="BJ147" s="298" t="str">
        <f t="shared" si="181"/>
        <v/>
      </c>
      <c r="BQ147" s="4">
        <f t="shared" si="213"/>
        <v>45251</v>
      </c>
      <c r="BR147" s="112">
        <f t="shared" si="214"/>
        <v>0</v>
      </c>
      <c r="BS147" s="112">
        <f t="shared" si="215"/>
        <v>0</v>
      </c>
      <c r="BT147" s="112">
        <f t="shared" si="216"/>
        <v>0</v>
      </c>
      <c r="BU147" s="112">
        <f t="shared" si="217"/>
        <v>0</v>
      </c>
      <c r="BV147" s="112">
        <f t="shared" si="218"/>
        <v>0</v>
      </c>
      <c r="CI147" s="4">
        <f t="shared" si="219"/>
        <v>45251</v>
      </c>
      <c r="CJ147" s="50">
        <f ca="1">IF($BH147=0,IF($CO147="",CJ146+R147,IF('283'!$K$251=1,VLOOKUP($CO147,PerStBal,2)+R147,IF('283'!$K$253=1,(VLOOKUP($CO147,PerPortion,2)*VLOOKUP($CO147,PerStBal,6))+R147,GL!BS147))),0)</f>
        <v>0</v>
      </c>
      <c r="CK147" s="425">
        <f ca="1">IF($BH147=0,IF($CO147="",CK146+T147,IF('283'!$K$251=1,IF(mname2&lt;&gt;"",VLOOKUP($CO147,PerStBal,3)+T147,0),IF('283'!$K$253=1,(VLOOKUP($CO147,PerPortion,3)*VLOOKUP($CO147,PerStBal,6))+T147,GL!BT147))),0)</f>
        <v>0</v>
      </c>
      <c r="CL147" s="425">
        <f ca="1">IF($BH147=0,IF($CO147="",CL146+V147,IF('283'!$K$251=1,IF(mname3&lt;&gt;"",VLOOKUP($CO147,PerStBal,4)+V147,0),IF('283'!$K$253=1,(VLOOKUP($CO147,PerPortion,4)*VLOOKUP($CO147,PerStBal,6))+V147,GL!BU147))),0)</f>
        <v>0</v>
      </c>
      <c r="CM147" s="425">
        <f ca="1">IF($BH147=0,IF($CO147="",CM146+X147,IF('283'!$K$251=1,IF(mname4&lt;&gt;"",VLOOKUP($CO147,PerStBal,5)+X147,0),IF('283'!$K$253=1,(VLOOKUP($CO147,PerPortion,5)*VLOOKUP($CO147,PerStBal,6))+X147,GL!BV147))),0)</f>
        <v>0</v>
      </c>
      <c r="CN147" s="50">
        <f t="shared" ca="1" si="220"/>
        <v>0</v>
      </c>
      <c r="CO147" s="4" t="str">
        <f t="shared" ca="1" si="221"/>
        <v/>
      </c>
      <c r="CP147" s="377">
        <f t="shared" si="182"/>
        <v>0</v>
      </c>
      <c r="DI147" s="4">
        <f t="shared" si="222"/>
        <v>45251</v>
      </c>
      <c r="DJ147" s="112">
        <f t="shared" ca="1" si="223"/>
        <v>0</v>
      </c>
      <c r="DK147" s="112">
        <f t="shared" si="224"/>
        <v>0</v>
      </c>
      <c r="DL147" s="4">
        <f t="shared" si="225"/>
        <v>45251</v>
      </c>
      <c r="DM147" s="112">
        <f t="shared" ca="1" si="226"/>
        <v>0</v>
      </c>
      <c r="DN147" s="112">
        <f t="shared" si="227"/>
        <v>0</v>
      </c>
      <c r="DO147" s="4">
        <f t="shared" si="228"/>
        <v>45251</v>
      </c>
      <c r="DP147" s="112">
        <f t="shared" ca="1" si="229"/>
        <v>0</v>
      </c>
      <c r="DQ147" s="112">
        <f t="shared" si="230"/>
        <v>0</v>
      </c>
      <c r="DR147" s="4">
        <f t="shared" si="231"/>
        <v>45251</v>
      </c>
      <c r="DS147" s="112">
        <f t="shared" ca="1" si="232"/>
        <v>0</v>
      </c>
      <c r="DT147" s="112">
        <f t="shared" si="233"/>
        <v>0</v>
      </c>
      <c r="DU147" s="4">
        <f t="shared" si="234"/>
        <v>45251</v>
      </c>
      <c r="DV147" s="112">
        <f t="shared" si="235"/>
        <v>0</v>
      </c>
      <c r="DW147" s="112">
        <f t="shared" si="236"/>
        <v>0</v>
      </c>
    </row>
    <row r="148" spans="2:127" x14ac:dyDescent="0.25">
      <c r="B148" s="74">
        <f t="shared" ref="B148:B179" si="245">IF(C39&lt;&gt;"",YearEnd-C39,DaysInYear/2)</f>
        <v>183</v>
      </c>
      <c r="C148" s="84">
        <f t="shared" si="237"/>
        <v>0</v>
      </c>
      <c r="D148" s="84">
        <f t="shared" si="237"/>
        <v>0</v>
      </c>
      <c r="E148" s="84">
        <f t="shared" si="237"/>
        <v>0</v>
      </c>
      <c r="F148" s="84">
        <f t="shared" si="237"/>
        <v>0</v>
      </c>
      <c r="H148" s="75">
        <f t="shared" si="239"/>
        <v>183</v>
      </c>
      <c r="I148" s="77">
        <f t="shared" si="240"/>
        <v>0</v>
      </c>
      <c r="J148" s="77">
        <f t="shared" si="241"/>
        <v>0</v>
      </c>
      <c r="K148" s="77">
        <f t="shared" si="242"/>
        <v>0</v>
      </c>
      <c r="L148" s="77">
        <f t="shared" si="243"/>
        <v>0</v>
      </c>
      <c r="M148" s="77">
        <f t="shared" si="244"/>
        <v>0</v>
      </c>
      <c r="Q148" s="4">
        <f t="shared" si="183"/>
        <v>45252</v>
      </c>
      <c r="R148" s="24">
        <f t="shared" si="184"/>
        <v>0</v>
      </c>
      <c r="S148" s="25">
        <f t="shared" si="185"/>
        <v>0</v>
      </c>
      <c r="T148" s="24">
        <f t="shared" si="186"/>
        <v>0</v>
      </c>
      <c r="U148" s="25">
        <f t="shared" si="187"/>
        <v>0</v>
      </c>
      <c r="V148" s="24">
        <f t="shared" si="188"/>
        <v>0</v>
      </c>
      <c r="W148" s="25">
        <f t="shared" si="189"/>
        <v>0</v>
      </c>
      <c r="X148" s="24">
        <f t="shared" si="190"/>
        <v>0</v>
      </c>
      <c r="Y148" s="26">
        <f t="shared" si="191"/>
        <v>0</v>
      </c>
      <c r="Z148" s="27">
        <f t="shared" si="192"/>
        <v>0</v>
      </c>
      <c r="AA148" s="28">
        <f t="shared" si="193"/>
        <v>45252</v>
      </c>
      <c r="AB148" s="24">
        <f t="shared" si="194"/>
        <v>0</v>
      </c>
      <c r="AC148" s="25">
        <f t="shared" si="195"/>
        <v>0</v>
      </c>
      <c r="AD148" s="28">
        <f t="shared" si="196"/>
        <v>45252</v>
      </c>
      <c r="AE148" s="24">
        <f t="shared" si="197"/>
        <v>0</v>
      </c>
      <c r="AF148" s="25">
        <f t="shared" si="198"/>
        <v>0</v>
      </c>
      <c r="AG148" s="28">
        <f t="shared" si="199"/>
        <v>45252</v>
      </c>
      <c r="AH148" s="24">
        <f t="shared" si="200"/>
        <v>0</v>
      </c>
      <c r="AI148" s="25">
        <f t="shared" si="201"/>
        <v>0</v>
      </c>
      <c r="AJ148" s="28">
        <f t="shared" si="202"/>
        <v>45252</v>
      </c>
      <c r="AK148" s="24">
        <f t="shared" si="203"/>
        <v>0</v>
      </c>
      <c r="AL148" s="25">
        <f t="shared" si="204"/>
        <v>0</v>
      </c>
      <c r="AM148" s="29">
        <f t="shared" si="205"/>
        <v>0</v>
      </c>
      <c r="AN148" s="28">
        <f t="shared" si="206"/>
        <v>45252</v>
      </c>
      <c r="AO148" s="373">
        <f t="shared" si="175"/>
        <v>0</v>
      </c>
      <c r="AP148" s="374">
        <f t="shared" si="176"/>
        <v>0</v>
      </c>
      <c r="AQ148" s="27">
        <f t="shared" si="177"/>
        <v>0</v>
      </c>
      <c r="AR148" s="25">
        <f t="shared" si="178"/>
        <v>0</v>
      </c>
      <c r="AS148" s="25">
        <f t="shared" si="179"/>
        <v>0</v>
      </c>
      <c r="AT148" s="25">
        <f t="shared" si="180"/>
        <v>0</v>
      </c>
      <c r="AU148" s="29">
        <f t="shared" si="238"/>
        <v>0</v>
      </c>
      <c r="AV148" s="27">
        <f t="shared" si="207"/>
        <v>0</v>
      </c>
      <c r="AW148" s="27">
        <f t="shared" si="208"/>
        <v>0</v>
      </c>
      <c r="AX148" s="27">
        <f t="shared" si="209"/>
        <v>0</v>
      </c>
      <c r="AY148" s="27">
        <f t="shared" si="210"/>
        <v>0</v>
      </c>
      <c r="BH148" s="2">
        <f t="shared" si="211"/>
        <v>0</v>
      </c>
      <c r="BI148" s="298" t="str">
        <f t="shared" si="212"/>
        <v/>
      </c>
      <c r="BJ148" s="298" t="str">
        <f t="shared" si="181"/>
        <v/>
      </c>
      <c r="BQ148" s="4">
        <f t="shared" si="213"/>
        <v>45252</v>
      </c>
      <c r="BR148" s="112">
        <f t="shared" si="214"/>
        <v>0</v>
      </c>
      <c r="BS148" s="112">
        <f t="shared" si="215"/>
        <v>0</v>
      </c>
      <c r="BT148" s="112">
        <f t="shared" si="216"/>
        <v>0</v>
      </c>
      <c r="BU148" s="112">
        <f t="shared" si="217"/>
        <v>0</v>
      </c>
      <c r="BV148" s="112">
        <f t="shared" si="218"/>
        <v>0</v>
      </c>
      <c r="CI148" s="4">
        <f t="shared" si="219"/>
        <v>45252</v>
      </c>
      <c r="CJ148" s="50">
        <f ca="1">IF($BH148=0,IF($CO148="",CJ147+R148,IF('283'!$K$251=1,VLOOKUP($CO148,PerStBal,2)+R148,IF('283'!$K$253=1,(VLOOKUP($CO148,PerPortion,2)*VLOOKUP($CO148,PerStBal,6))+R148,GL!BS148))),0)</f>
        <v>0</v>
      </c>
      <c r="CK148" s="425">
        <f ca="1">IF($BH148=0,IF($CO148="",CK147+T148,IF('283'!$K$251=1,IF(mname2&lt;&gt;"",VLOOKUP($CO148,PerStBal,3)+T148,0),IF('283'!$K$253=1,(VLOOKUP($CO148,PerPortion,3)*VLOOKUP($CO148,PerStBal,6))+T148,GL!BT148))),0)</f>
        <v>0</v>
      </c>
      <c r="CL148" s="425">
        <f ca="1">IF($BH148=0,IF($CO148="",CL147+V148,IF('283'!$K$251=1,IF(mname3&lt;&gt;"",VLOOKUP($CO148,PerStBal,4)+V148,0),IF('283'!$K$253=1,(VLOOKUP($CO148,PerPortion,4)*VLOOKUP($CO148,PerStBal,6))+V148,GL!BU148))),0)</f>
        <v>0</v>
      </c>
      <c r="CM148" s="425">
        <f ca="1">IF($BH148=0,IF($CO148="",CM147+X148,IF('283'!$K$251=1,IF(mname4&lt;&gt;"",VLOOKUP($CO148,PerStBal,5)+X148,0),IF('283'!$K$253=1,(VLOOKUP($CO148,PerPortion,5)*VLOOKUP($CO148,PerStBal,6))+X148,GL!BV148))),0)</f>
        <v>0</v>
      </c>
      <c r="CN148" s="50">
        <f t="shared" ca="1" si="220"/>
        <v>0</v>
      </c>
      <c r="CO148" s="4" t="str">
        <f t="shared" ca="1" si="221"/>
        <v/>
      </c>
      <c r="CP148" s="377">
        <f t="shared" si="182"/>
        <v>0</v>
      </c>
      <c r="DI148" s="4">
        <f t="shared" si="222"/>
        <v>45252</v>
      </c>
      <c r="DJ148" s="112">
        <f t="shared" ca="1" si="223"/>
        <v>0</v>
      </c>
      <c r="DK148" s="112">
        <f t="shared" si="224"/>
        <v>0</v>
      </c>
      <c r="DL148" s="4">
        <f t="shared" si="225"/>
        <v>45252</v>
      </c>
      <c r="DM148" s="112">
        <f t="shared" ca="1" si="226"/>
        <v>0</v>
      </c>
      <c r="DN148" s="112">
        <f t="shared" si="227"/>
        <v>0</v>
      </c>
      <c r="DO148" s="4">
        <f t="shared" si="228"/>
        <v>45252</v>
      </c>
      <c r="DP148" s="112">
        <f t="shared" ca="1" si="229"/>
        <v>0</v>
      </c>
      <c r="DQ148" s="112">
        <f t="shared" si="230"/>
        <v>0</v>
      </c>
      <c r="DR148" s="4">
        <f t="shared" si="231"/>
        <v>45252</v>
      </c>
      <c r="DS148" s="112">
        <f t="shared" ca="1" si="232"/>
        <v>0</v>
      </c>
      <c r="DT148" s="112">
        <f t="shared" si="233"/>
        <v>0</v>
      </c>
      <c r="DU148" s="4">
        <f t="shared" si="234"/>
        <v>45252</v>
      </c>
      <c r="DV148" s="112">
        <f t="shared" si="235"/>
        <v>0</v>
      </c>
      <c r="DW148" s="112">
        <f t="shared" si="236"/>
        <v>0</v>
      </c>
    </row>
    <row r="149" spans="2:127" x14ac:dyDescent="0.25">
      <c r="B149" s="74">
        <f t="shared" si="245"/>
        <v>183</v>
      </c>
      <c r="C149" s="84">
        <f t="shared" si="237"/>
        <v>0</v>
      </c>
      <c r="D149" s="84">
        <f t="shared" si="237"/>
        <v>0</v>
      </c>
      <c r="E149" s="84">
        <f t="shared" si="237"/>
        <v>0</v>
      </c>
      <c r="F149" s="84">
        <f t="shared" si="237"/>
        <v>0</v>
      </c>
      <c r="H149" s="75">
        <f t="shared" si="239"/>
        <v>183</v>
      </c>
      <c r="I149" s="77">
        <f t="shared" si="240"/>
        <v>0</v>
      </c>
      <c r="J149" s="77">
        <f t="shared" si="241"/>
        <v>0</v>
      </c>
      <c r="K149" s="77">
        <f t="shared" si="242"/>
        <v>0</v>
      </c>
      <c r="L149" s="77">
        <f t="shared" si="243"/>
        <v>0</v>
      </c>
      <c r="M149" s="77">
        <f t="shared" si="244"/>
        <v>0</v>
      </c>
      <c r="Q149" s="4">
        <f t="shared" si="183"/>
        <v>45253</v>
      </c>
      <c r="R149" s="24">
        <f t="shared" si="184"/>
        <v>0</v>
      </c>
      <c r="S149" s="25">
        <f t="shared" si="185"/>
        <v>0</v>
      </c>
      <c r="T149" s="24">
        <f t="shared" si="186"/>
        <v>0</v>
      </c>
      <c r="U149" s="25">
        <f t="shared" si="187"/>
        <v>0</v>
      </c>
      <c r="V149" s="24">
        <f t="shared" si="188"/>
        <v>0</v>
      </c>
      <c r="W149" s="25">
        <f t="shared" si="189"/>
        <v>0</v>
      </c>
      <c r="X149" s="24">
        <f t="shared" si="190"/>
        <v>0</v>
      </c>
      <c r="Y149" s="26">
        <f t="shared" si="191"/>
        <v>0</v>
      </c>
      <c r="Z149" s="27">
        <f t="shared" si="192"/>
        <v>0</v>
      </c>
      <c r="AA149" s="28">
        <f t="shared" si="193"/>
        <v>45253</v>
      </c>
      <c r="AB149" s="24">
        <f t="shared" si="194"/>
        <v>0</v>
      </c>
      <c r="AC149" s="25">
        <f t="shared" si="195"/>
        <v>0</v>
      </c>
      <c r="AD149" s="28">
        <f t="shared" si="196"/>
        <v>45253</v>
      </c>
      <c r="AE149" s="24">
        <f t="shared" si="197"/>
        <v>0</v>
      </c>
      <c r="AF149" s="25">
        <f t="shared" si="198"/>
        <v>0</v>
      </c>
      <c r="AG149" s="28">
        <f t="shared" si="199"/>
        <v>45253</v>
      </c>
      <c r="AH149" s="24">
        <f t="shared" si="200"/>
        <v>0</v>
      </c>
      <c r="AI149" s="25">
        <f t="shared" si="201"/>
        <v>0</v>
      </c>
      <c r="AJ149" s="28">
        <f t="shared" si="202"/>
        <v>45253</v>
      </c>
      <c r="AK149" s="24">
        <f t="shared" si="203"/>
        <v>0</v>
      </c>
      <c r="AL149" s="25">
        <f t="shared" si="204"/>
        <v>0</v>
      </c>
      <c r="AM149" s="29">
        <f t="shared" si="205"/>
        <v>0</v>
      </c>
      <c r="AN149" s="28">
        <f t="shared" si="206"/>
        <v>45253</v>
      </c>
      <c r="AO149" s="373">
        <f t="shared" si="175"/>
        <v>0</v>
      </c>
      <c r="AP149" s="374">
        <f t="shared" si="176"/>
        <v>0</v>
      </c>
      <c r="AQ149" s="27">
        <f t="shared" si="177"/>
        <v>0</v>
      </c>
      <c r="AR149" s="25">
        <f t="shared" si="178"/>
        <v>0</v>
      </c>
      <c r="AS149" s="25">
        <f t="shared" si="179"/>
        <v>0</v>
      </c>
      <c r="AT149" s="25">
        <f t="shared" si="180"/>
        <v>0</v>
      </c>
      <c r="AU149" s="29">
        <f t="shared" si="238"/>
        <v>0</v>
      </c>
      <c r="AV149" s="27">
        <f t="shared" si="207"/>
        <v>0</v>
      </c>
      <c r="AW149" s="27">
        <f t="shared" si="208"/>
        <v>0</v>
      </c>
      <c r="AX149" s="27">
        <f t="shared" si="209"/>
        <v>0</v>
      </c>
      <c r="AY149" s="27">
        <f t="shared" si="210"/>
        <v>0</v>
      </c>
      <c r="BH149" s="2">
        <f t="shared" si="211"/>
        <v>0</v>
      </c>
      <c r="BI149" s="298" t="str">
        <f t="shared" si="212"/>
        <v/>
      </c>
      <c r="BJ149" s="298" t="str">
        <f t="shared" si="181"/>
        <v/>
      </c>
      <c r="BQ149" s="4">
        <f t="shared" si="213"/>
        <v>45253</v>
      </c>
      <c r="BR149" s="112">
        <f t="shared" si="214"/>
        <v>0</v>
      </c>
      <c r="BS149" s="112">
        <f t="shared" si="215"/>
        <v>0</v>
      </c>
      <c r="BT149" s="112">
        <f t="shared" si="216"/>
        <v>0</v>
      </c>
      <c r="BU149" s="112">
        <f t="shared" si="217"/>
        <v>0</v>
      </c>
      <c r="BV149" s="112">
        <f t="shared" si="218"/>
        <v>0</v>
      </c>
      <c r="CI149" s="4">
        <f t="shared" si="219"/>
        <v>45253</v>
      </c>
      <c r="CJ149" s="50">
        <f ca="1">IF($BH149=0,IF($CO149="",CJ148+R149,IF('283'!$K$251=1,VLOOKUP($CO149,PerStBal,2)+R149,IF('283'!$K$253=1,(VLOOKUP($CO149,PerPortion,2)*VLOOKUP($CO149,PerStBal,6))+R149,GL!BS149))),0)</f>
        <v>0</v>
      </c>
      <c r="CK149" s="425">
        <f ca="1">IF($BH149=0,IF($CO149="",CK148+T149,IF('283'!$K$251=1,IF(mname2&lt;&gt;"",VLOOKUP($CO149,PerStBal,3)+T149,0),IF('283'!$K$253=1,(VLOOKUP($CO149,PerPortion,3)*VLOOKUP($CO149,PerStBal,6))+T149,GL!BT149))),0)</f>
        <v>0</v>
      </c>
      <c r="CL149" s="425">
        <f ca="1">IF($BH149=0,IF($CO149="",CL148+V149,IF('283'!$K$251=1,IF(mname3&lt;&gt;"",VLOOKUP($CO149,PerStBal,4)+V149,0),IF('283'!$K$253=1,(VLOOKUP($CO149,PerPortion,4)*VLOOKUP($CO149,PerStBal,6))+V149,GL!BU149))),0)</f>
        <v>0</v>
      </c>
      <c r="CM149" s="425">
        <f ca="1">IF($BH149=0,IF($CO149="",CM148+X149,IF('283'!$K$251=1,IF(mname4&lt;&gt;"",VLOOKUP($CO149,PerStBal,5)+X149,0),IF('283'!$K$253=1,(VLOOKUP($CO149,PerPortion,5)*VLOOKUP($CO149,PerStBal,6))+X149,GL!BV149))),0)</f>
        <v>0</v>
      </c>
      <c r="CN149" s="50">
        <f t="shared" ca="1" si="220"/>
        <v>0</v>
      </c>
      <c r="CO149" s="4" t="str">
        <f t="shared" ca="1" si="221"/>
        <v/>
      </c>
      <c r="CP149" s="377">
        <f t="shared" si="182"/>
        <v>0</v>
      </c>
      <c r="DI149" s="4">
        <f t="shared" si="222"/>
        <v>45253</v>
      </c>
      <c r="DJ149" s="112">
        <f t="shared" ca="1" si="223"/>
        <v>0</v>
      </c>
      <c r="DK149" s="112">
        <f t="shared" si="224"/>
        <v>0</v>
      </c>
      <c r="DL149" s="4">
        <f t="shared" si="225"/>
        <v>45253</v>
      </c>
      <c r="DM149" s="112">
        <f t="shared" ca="1" si="226"/>
        <v>0</v>
      </c>
      <c r="DN149" s="112">
        <f t="shared" si="227"/>
        <v>0</v>
      </c>
      <c r="DO149" s="4">
        <f t="shared" si="228"/>
        <v>45253</v>
      </c>
      <c r="DP149" s="112">
        <f t="shared" ca="1" si="229"/>
        <v>0</v>
      </c>
      <c r="DQ149" s="112">
        <f t="shared" si="230"/>
        <v>0</v>
      </c>
      <c r="DR149" s="4">
        <f t="shared" si="231"/>
        <v>45253</v>
      </c>
      <c r="DS149" s="112">
        <f t="shared" ca="1" si="232"/>
        <v>0</v>
      </c>
      <c r="DT149" s="112">
        <f t="shared" si="233"/>
        <v>0</v>
      </c>
      <c r="DU149" s="4">
        <f t="shared" si="234"/>
        <v>45253</v>
      </c>
      <c r="DV149" s="112">
        <f t="shared" si="235"/>
        <v>0</v>
      </c>
      <c r="DW149" s="112">
        <f t="shared" si="236"/>
        <v>0</v>
      </c>
    </row>
    <row r="150" spans="2:127" x14ac:dyDescent="0.25">
      <c r="B150" s="74">
        <f t="shared" si="245"/>
        <v>183</v>
      </c>
      <c r="C150" s="84">
        <f t="shared" si="237"/>
        <v>0</v>
      </c>
      <c r="D150" s="84">
        <f t="shared" si="237"/>
        <v>0</v>
      </c>
      <c r="E150" s="84">
        <f t="shared" si="237"/>
        <v>0</v>
      </c>
      <c r="F150" s="84">
        <f t="shared" si="237"/>
        <v>0</v>
      </c>
      <c r="H150" s="75">
        <f t="shared" si="239"/>
        <v>183</v>
      </c>
      <c r="I150" s="77">
        <f t="shared" si="240"/>
        <v>0</v>
      </c>
      <c r="J150" s="77">
        <f t="shared" si="241"/>
        <v>0</v>
      </c>
      <c r="K150" s="77">
        <f t="shared" si="242"/>
        <v>0</v>
      </c>
      <c r="L150" s="77">
        <f t="shared" si="243"/>
        <v>0</v>
      </c>
      <c r="M150" s="77">
        <f t="shared" si="244"/>
        <v>0</v>
      </c>
      <c r="Q150" s="4">
        <f t="shared" si="183"/>
        <v>45254</v>
      </c>
      <c r="R150" s="24">
        <f t="shared" si="184"/>
        <v>0</v>
      </c>
      <c r="S150" s="25">
        <f t="shared" si="185"/>
        <v>0</v>
      </c>
      <c r="T150" s="24">
        <f t="shared" si="186"/>
        <v>0</v>
      </c>
      <c r="U150" s="25">
        <f t="shared" si="187"/>
        <v>0</v>
      </c>
      <c r="V150" s="24">
        <f t="shared" si="188"/>
        <v>0</v>
      </c>
      <c r="W150" s="25">
        <f t="shared" si="189"/>
        <v>0</v>
      </c>
      <c r="X150" s="24">
        <f t="shared" si="190"/>
        <v>0</v>
      </c>
      <c r="Y150" s="26">
        <f t="shared" si="191"/>
        <v>0</v>
      </c>
      <c r="Z150" s="27">
        <f t="shared" si="192"/>
        <v>0</v>
      </c>
      <c r="AA150" s="28">
        <f t="shared" si="193"/>
        <v>45254</v>
      </c>
      <c r="AB150" s="24">
        <f t="shared" si="194"/>
        <v>0</v>
      </c>
      <c r="AC150" s="25">
        <f t="shared" si="195"/>
        <v>0</v>
      </c>
      <c r="AD150" s="28">
        <f t="shared" si="196"/>
        <v>45254</v>
      </c>
      <c r="AE150" s="24">
        <f t="shared" si="197"/>
        <v>0</v>
      </c>
      <c r="AF150" s="25">
        <f t="shared" si="198"/>
        <v>0</v>
      </c>
      <c r="AG150" s="28">
        <f t="shared" si="199"/>
        <v>45254</v>
      </c>
      <c r="AH150" s="24">
        <f t="shared" si="200"/>
        <v>0</v>
      </c>
      <c r="AI150" s="25">
        <f t="shared" si="201"/>
        <v>0</v>
      </c>
      <c r="AJ150" s="28">
        <f t="shared" si="202"/>
        <v>45254</v>
      </c>
      <c r="AK150" s="24">
        <f t="shared" si="203"/>
        <v>0</v>
      </c>
      <c r="AL150" s="25">
        <f t="shared" si="204"/>
        <v>0</v>
      </c>
      <c r="AM150" s="29">
        <f t="shared" si="205"/>
        <v>0</v>
      </c>
      <c r="AN150" s="28">
        <f t="shared" si="206"/>
        <v>45254</v>
      </c>
      <c r="AO150" s="373">
        <f t="shared" si="175"/>
        <v>0</v>
      </c>
      <c r="AP150" s="374">
        <f t="shared" si="176"/>
        <v>0</v>
      </c>
      <c r="AQ150" s="27">
        <f t="shared" si="177"/>
        <v>0</v>
      </c>
      <c r="AR150" s="25">
        <f t="shared" si="178"/>
        <v>0</v>
      </c>
      <c r="AS150" s="25">
        <f t="shared" si="179"/>
        <v>0</v>
      </c>
      <c r="AT150" s="25">
        <f t="shared" si="180"/>
        <v>0</v>
      </c>
      <c r="AU150" s="29">
        <f t="shared" si="238"/>
        <v>0</v>
      </c>
      <c r="AV150" s="27">
        <f t="shared" si="207"/>
        <v>0</v>
      </c>
      <c r="AW150" s="27">
        <f t="shared" si="208"/>
        <v>0</v>
      </c>
      <c r="AX150" s="27">
        <f t="shared" si="209"/>
        <v>0</v>
      </c>
      <c r="AY150" s="27">
        <f t="shared" si="210"/>
        <v>0</v>
      </c>
      <c r="BH150" s="2">
        <f t="shared" si="211"/>
        <v>0</v>
      </c>
      <c r="BI150" s="298" t="str">
        <f t="shared" si="212"/>
        <v/>
      </c>
      <c r="BJ150" s="298" t="str">
        <f t="shared" si="181"/>
        <v/>
      </c>
      <c r="BQ150" s="4">
        <f t="shared" si="213"/>
        <v>45254</v>
      </c>
      <c r="BR150" s="112">
        <f t="shared" si="214"/>
        <v>0</v>
      </c>
      <c r="BS150" s="112">
        <f t="shared" si="215"/>
        <v>0</v>
      </c>
      <c r="BT150" s="112">
        <f t="shared" si="216"/>
        <v>0</v>
      </c>
      <c r="BU150" s="112">
        <f t="shared" si="217"/>
        <v>0</v>
      </c>
      <c r="BV150" s="112">
        <f t="shared" si="218"/>
        <v>0</v>
      </c>
      <c r="CI150" s="4">
        <f t="shared" si="219"/>
        <v>45254</v>
      </c>
      <c r="CJ150" s="50">
        <f ca="1">IF($BH150=0,IF($CO150="",CJ149+R150,IF('283'!$K$251=1,VLOOKUP($CO150,PerStBal,2)+R150,IF('283'!$K$253=1,(VLOOKUP($CO150,PerPortion,2)*VLOOKUP($CO150,PerStBal,6))+R150,GL!BS150))),0)</f>
        <v>0</v>
      </c>
      <c r="CK150" s="425">
        <f ca="1">IF($BH150=0,IF($CO150="",CK149+T150,IF('283'!$K$251=1,IF(mname2&lt;&gt;"",VLOOKUP($CO150,PerStBal,3)+T150,0),IF('283'!$K$253=1,(VLOOKUP($CO150,PerPortion,3)*VLOOKUP($CO150,PerStBal,6))+T150,GL!BT150))),0)</f>
        <v>0</v>
      </c>
      <c r="CL150" s="425">
        <f ca="1">IF($BH150=0,IF($CO150="",CL149+V150,IF('283'!$K$251=1,IF(mname3&lt;&gt;"",VLOOKUP($CO150,PerStBal,4)+V150,0),IF('283'!$K$253=1,(VLOOKUP($CO150,PerPortion,4)*VLOOKUP($CO150,PerStBal,6))+V150,GL!BU150))),0)</f>
        <v>0</v>
      </c>
      <c r="CM150" s="425">
        <f ca="1">IF($BH150=0,IF($CO150="",CM149+X150,IF('283'!$K$251=1,IF(mname4&lt;&gt;"",VLOOKUP($CO150,PerStBal,5)+X150,0),IF('283'!$K$253=1,(VLOOKUP($CO150,PerPortion,5)*VLOOKUP($CO150,PerStBal,6))+X150,GL!BV150))),0)</f>
        <v>0</v>
      </c>
      <c r="CN150" s="50">
        <f t="shared" ca="1" si="220"/>
        <v>0</v>
      </c>
      <c r="CO150" s="4" t="str">
        <f t="shared" ca="1" si="221"/>
        <v/>
      </c>
      <c r="CP150" s="377">
        <f t="shared" si="182"/>
        <v>0</v>
      </c>
      <c r="DI150" s="4">
        <f t="shared" si="222"/>
        <v>45254</v>
      </c>
      <c r="DJ150" s="112">
        <f t="shared" ca="1" si="223"/>
        <v>0</v>
      </c>
      <c r="DK150" s="112">
        <f t="shared" si="224"/>
        <v>0</v>
      </c>
      <c r="DL150" s="4">
        <f t="shared" si="225"/>
        <v>45254</v>
      </c>
      <c r="DM150" s="112">
        <f t="shared" ca="1" si="226"/>
        <v>0</v>
      </c>
      <c r="DN150" s="112">
        <f t="shared" si="227"/>
        <v>0</v>
      </c>
      <c r="DO150" s="4">
        <f t="shared" si="228"/>
        <v>45254</v>
      </c>
      <c r="DP150" s="112">
        <f t="shared" ca="1" si="229"/>
        <v>0</v>
      </c>
      <c r="DQ150" s="112">
        <f t="shared" si="230"/>
        <v>0</v>
      </c>
      <c r="DR150" s="4">
        <f t="shared" si="231"/>
        <v>45254</v>
      </c>
      <c r="DS150" s="112">
        <f t="shared" ca="1" si="232"/>
        <v>0</v>
      </c>
      <c r="DT150" s="112">
        <f t="shared" si="233"/>
        <v>0</v>
      </c>
      <c r="DU150" s="4">
        <f t="shared" si="234"/>
        <v>45254</v>
      </c>
      <c r="DV150" s="112">
        <f t="shared" si="235"/>
        <v>0</v>
      </c>
      <c r="DW150" s="112">
        <f t="shared" si="236"/>
        <v>0</v>
      </c>
    </row>
    <row r="151" spans="2:127" x14ac:dyDescent="0.25">
      <c r="B151" s="74">
        <f t="shared" si="245"/>
        <v>183</v>
      </c>
      <c r="C151" s="84">
        <f t="shared" si="237"/>
        <v>0</v>
      </c>
      <c r="D151" s="84">
        <f t="shared" si="237"/>
        <v>0</v>
      </c>
      <c r="E151" s="84">
        <f t="shared" si="237"/>
        <v>0</v>
      </c>
      <c r="F151" s="84">
        <f t="shared" si="237"/>
        <v>0</v>
      </c>
      <c r="H151" s="75">
        <f t="shared" si="239"/>
        <v>183</v>
      </c>
      <c r="I151" s="77">
        <f t="shared" si="240"/>
        <v>0</v>
      </c>
      <c r="J151" s="77">
        <f t="shared" si="241"/>
        <v>0</v>
      </c>
      <c r="K151" s="77">
        <f t="shared" si="242"/>
        <v>0</v>
      </c>
      <c r="L151" s="77">
        <f t="shared" si="243"/>
        <v>0</v>
      </c>
      <c r="M151" s="77">
        <f t="shared" si="244"/>
        <v>0</v>
      </c>
      <c r="Q151" s="4">
        <f t="shared" si="183"/>
        <v>45255</v>
      </c>
      <c r="R151" s="24">
        <f t="shared" si="184"/>
        <v>0</v>
      </c>
      <c r="S151" s="25">
        <f t="shared" si="185"/>
        <v>0</v>
      </c>
      <c r="T151" s="24">
        <f t="shared" si="186"/>
        <v>0</v>
      </c>
      <c r="U151" s="25">
        <f t="shared" si="187"/>
        <v>0</v>
      </c>
      <c r="V151" s="24">
        <f t="shared" si="188"/>
        <v>0</v>
      </c>
      <c r="W151" s="25">
        <f t="shared" si="189"/>
        <v>0</v>
      </c>
      <c r="X151" s="24">
        <f t="shared" si="190"/>
        <v>0</v>
      </c>
      <c r="Y151" s="26">
        <f t="shared" si="191"/>
        <v>0</v>
      </c>
      <c r="Z151" s="27">
        <f t="shared" si="192"/>
        <v>0</v>
      </c>
      <c r="AA151" s="28">
        <f t="shared" si="193"/>
        <v>45255</v>
      </c>
      <c r="AB151" s="24">
        <f t="shared" si="194"/>
        <v>0</v>
      </c>
      <c r="AC151" s="25">
        <f t="shared" si="195"/>
        <v>0</v>
      </c>
      <c r="AD151" s="28">
        <f t="shared" si="196"/>
        <v>45255</v>
      </c>
      <c r="AE151" s="24">
        <f t="shared" si="197"/>
        <v>0</v>
      </c>
      <c r="AF151" s="25">
        <f t="shared" si="198"/>
        <v>0</v>
      </c>
      <c r="AG151" s="28">
        <f t="shared" si="199"/>
        <v>45255</v>
      </c>
      <c r="AH151" s="24">
        <f t="shared" si="200"/>
        <v>0</v>
      </c>
      <c r="AI151" s="25">
        <f t="shared" si="201"/>
        <v>0</v>
      </c>
      <c r="AJ151" s="28">
        <f t="shared" si="202"/>
        <v>45255</v>
      </c>
      <c r="AK151" s="24">
        <f t="shared" si="203"/>
        <v>0</v>
      </c>
      <c r="AL151" s="25">
        <f t="shared" si="204"/>
        <v>0</v>
      </c>
      <c r="AM151" s="29">
        <f t="shared" si="205"/>
        <v>0</v>
      </c>
      <c r="AN151" s="28">
        <f t="shared" si="206"/>
        <v>45255</v>
      </c>
      <c r="AO151" s="373">
        <f t="shared" si="175"/>
        <v>0</v>
      </c>
      <c r="AP151" s="374">
        <f t="shared" si="176"/>
        <v>0</v>
      </c>
      <c r="AQ151" s="27">
        <f t="shared" si="177"/>
        <v>0</v>
      </c>
      <c r="AR151" s="25">
        <f t="shared" si="178"/>
        <v>0</v>
      </c>
      <c r="AS151" s="25">
        <f t="shared" si="179"/>
        <v>0</v>
      </c>
      <c r="AT151" s="25">
        <f t="shared" si="180"/>
        <v>0</v>
      </c>
      <c r="AU151" s="29">
        <f t="shared" si="238"/>
        <v>0</v>
      </c>
      <c r="AV151" s="27">
        <f t="shared" si="207"/>
        <v>0</v>
      </c>
      <c r="AW151" s="27">
        <f t="shared" si="208"/>
        <v>0</v>
      </c>
      <c r="AX151" s="27">
        <f t="shared" si="209"/>
        <v>0</v>
      </c>
      <c r="AY151" s="27">
        <f t="shared" si="210"/>
        <v>0</v>
      </c>
      <c r="BH151" s="2">
        <f t="shared" si="211"/>
        <v>0</v>
      </c>
      <c r="BI151" s="298" t="str">
        <f t="shared" si="212"/>
        <v/>
      </c>
      <c r="BJ151" s="298" t="str">
        <f t="shared" si="181"/>
        <v/>
      </c>
      <c r="BQ151" s="4">
        <f t="shared" si="213"/>
        <v>45255</v>
      </c>
      <c r="BR151" s="112">
        <f t="shared" si="214"/>
        <v>0</v>
      </c>
      <c r="BS151" s="112">
        <f t="shared" si="215"/>
        <v>0</v>
      </c>
      <c r="BT151" s="112">
        <f t="shared" si="216"/>
        <v>0</v>
      </c>
      <c r="BU151" s="112">
        <f t="shared" si="217"/>
        <v>0</v>
      </c>
      <c r="BV151" s="112">
        <f t="shared" si="218"/>
        <v>0</v>
      </c>
      <c r="CI151" s="4">
        <f t="shared" si="219"/>
        <v>45255</v>
      </c>
      <c r="CJ151" s="50">
        <f ca="1">IF($BH151=0,IF($CO151="",CJ150+R151,IF('283'!$K$251=1,VLOOKUP($CO151,PerStBal,2)+R151,IF('283'!$K$253=1,(VLOOKUP($CO151,PerPortion,2)*VLOOKUP($CO151,PerStBal,6))+R151,GL!BS151))),0)</f>
        <v>0</v>
      </c>
      <c r="CK151" s="425">
        <f ca="1">IF($BH151=0,IF($CO151="",CK150+T151,IF('283'!$K$251=1,IF(mname2&lt;&gt;"",VLOOKUP($CO151,PerStBal,3)+T151,0),IF('283'!$K$253=1,(VLOOKUP($CO151,PerPortion,3)*VLOOKUP($CO151,PerStBal,6))+T151,GL!BT151))),0)</f>
        <v>0</v>
      </c>
      <c r="CL151" s="425">
        <f ca="1">IF($BH151=0,IF($CO151="",CL150+V151,IF('283'!$K$251=1,IF(mname3&lt;&gt;"",VLOOKUP($CO151,PerStBal,4)+V151,0),IF('283'!$K$253=1,(VLOOKUP($CO151,PerPortion,4)*VLOOKUP($CO151,PerStBal,6))+V151,GL!BU151))),0)</f>
        <v>0</v>
      </c>
      <c r="CM151" s="425">
        <f ca="1">IF($BH151=0,IF($CO151="",CM150+X151,IF('283'!$K$251=1,IF(mname4&lt;&gt;"",VLOOKUP($CO151,PerStBal,5)+X151,0),IF('283'!$K$253=1,(VLOOKUP($CO151,PerPortion,5)*VLOOKUP($CO151,PerStBal,6))+X151,GL!BV151))),0)</f>
        <v>0</v>
      </c>
      <c r="CN151" s="50">
        <f t="shared" ca="1" si="220"/>
        <v>0</v>
      </c>
      <c r="CO151" s="4" t="str">
        <f t="shared" ca="1" si="221"/>
        <v/>
      </c>
      <c r="CP151" s="377">
        <f t="shared" si="182"/>
        <v>0</v>
      </c>
      <c r="DI151" s="4">
        <f t="shared" si="222"/>
        <v>45255</v>
      </c>
      <c r="DJ151" s="112">
        <f t="shared" ca="1" si="223"/>
        <v>0</v>
      </c>
      <c r="DK151" s="112">
        <f t="shared" si="224"/>
        <v>0</v>
      </c>
      <c r="DL151" s="4">
        <f t="shared" si="225"/>
        <v>45255</v>
      </c>
      <c r="DM151" s="112">
        <f t="shared" ca="1" si="226"/>
        <v>0</v>
      </c>
      <c r="DN151" s="112">
        <f t="shared" si="227"/>
        <v>0</v>
      </c>
      <c r="DO151" s="4">
        <f t="shared" si="228"/>
        <v>45255</v>
      </c>
      <c r="DP151" s="112">
        <f t="shared" ca="1" si="229"/>
        <v>0</v>
      </c>
      <c r="DQ151" s="112">
        <f t="shared" si="230"/>
        <v>0</v>
      </c>
      <c r="DR151" s="4">
        <f t="shared" si="231"/>
        <v>45255</v>
      </c>
      <c r="DS151" s="112">
        <f t="shared" ca="1" si="232"/>
        <v>0</v>
      </c>
      <c r="DT151" s="112">
        <f t="shared" si="233"/>
        <v>0</v>
      </c>
      <c r="DU151" s="4">
        <f t="shared" si="234"/>
        <v>45255</v>
      </c>
      <c r="DV151" s="112">
        <f t="shared" si="235"/>
        <v>0</v>
      </c>
      <c r="DW151" s="112">
        <f t="shared" si="236"/>
        <v>0</v>
      </c>
    </row>
    <row r="152" spans="2:127" x14ac:dyDescent="0.25">
      <c r="B152" s="74">
        <f t="shared" si="245"/>
        <v>183</v>
      </c>
      <c r="C152" s="84">
        <f t="shared" si="237"/>
        <v>0</v>
      </c>
      <c r="D152" s="84">
        <f t="shared" si="237"/>
        <v>0</v>
      </c>
      <c r="E152" s="84">
        <f t="shared" si="237"/>
        <v>0</v>
      </c>
      <c r="F152" s="84">
        <f t="shared" si="237"/>
        <v>0</v>
      </c>
      <c r="H152" s="75">
        <f t="shared" si="239"/>
        <v>183</v>
      </c>
      <c r="I152" s="77">
        <f t="shared" si="240"/>
        <v>0</v>
      </c>
      <c r="J152" s="77">
        <f t="shared" si="241"/>
        <v>0</v>
      </c>
      <c r="K152" s="77">
        <f t="shared" si="242"/>
        <v>0</v>
      </c>
      <c r="L152" s="77">
        <f t="shared" si="243"/>
        <v>0</v>
      </c>
      <c r="M152" s="77">
        <f t="shared" si="244"/>
        <v>0</v>
      </c>
      <c r="Q152" s="4">
        <f t="shared" si="183"/>
        <v>45256</v>
      </c>
      <c r="R152" s="24">
        <f t="shared" si="184"/>
        <v>0</v>
      </c>
      <c r="S152" s="25">
        <f t="shared" si="185"/>
        <v>0</v>
      </c>
      <c r="T152" s="24">
        <f t="shared" si="186"/>
        <v>0</v>
      </c>
      <c r="U152" s="25">
        <f t="shared" si="187"/>
        <v>0</v>
      </c>
      <c r="V152" s="24">
        <f t="shared" si="188"/>
        <v>0</v>
      </c>
      <c r="W152" s="25">
        <f t="shared" si="189"/>
        <v>0</v>
      </c>
      <c r="X152" s="24">
        <f t="shared" si="190"/>
        <v>0</v>
      </c>
      <c r="Y152" s="26">
        <f t="shared" si="191"/>
        <v>0</v>
      </c>
      <c r="Z152" s="27">
        <f t="shared" si="192"/>
        <v>0</v>
      </c>
      <c r="AA152" s="28">
        <f t="shared" si="193"/>
        <v>45256</v>
      </c>
      <c r="AB152" s="24">
        <f t="shared" si="194"/>
        <v>0</v>
      </c>
      <c r="AC152" s="25">
        <f t="shared" si="195"/>
        <v>0</v>
      </c>
      <c r="AD152" s="28">
        <f t="shared" si="196"/>
        <v>45256</v>
      </c>
      <c r="AE152" s="24">
        <f t="shared" si="197"/>
        <v>0</v>
      </c>
      <c r="AF152" s="25">
        <f t="shared" si="198"/>
        <v>0</v>
      </c>
      <c r="AG152" s="28">
        <f t="shared" si="199"/>
        <v>45256</v>
      </c>
      <c r="AH152" s="24">
        <f t="shared" si="200"/>
        <v>0</v>
      </c>
      <c r="AI152" s="25">
        <f t="shared" si="201"/>
        <v>0</v>
      </c>
      <c r="AJ152" s="28">
        <f t="shared" si="202"/>
        <v>45256</v>
      </c>
      <c r="AK152" s="24">
        <f t="shared" si="203"/>
        <v>0</v>
      </c>
      <c r="AL152" s="25">
        <f t="shared" si="204"/>
        <v>0</v>
      </c>
      <c r="AM152" s="29">
        <f t="shared" si="205"/>
        <v>0</v>
      </c>
      <c r="AN152" s="28">
        <f t="shared" si="206"/>
        <v>45256</v>
      </c>
      <c r="AO152" s="373">
        <f t="shared" si="175"/>
        <v>0</v>
      </c>
      <c r="AP152" s="374">
        <f t="shared" si="176"/>
        <v>0</v>
      </c>
      <c r="AQ152" s="27">
        <f t="shared" si="177"/>
        <v>0</v>
      </c>
      <c r="AR152" s="25">
        <f t="shared" si="178"/>
        <v>0</v>
      </c>
      <c r="AS152" s="25">
        <f t="shared" si="179"/>
        <v>0</v>
      </c>
      <c r="AT152" s="25">
        <f t="shared" si="180"/>
        <v>0</v>
      </c>
      <c r="AU152" s="29">
        <f t="shared" si="238"/>
        <v>0</v>
      </c>
      <c r="AV152" s="27">
        <f t="shared" si="207"/>
        <v>0</v>
      </c>
      <c r="AW152" s="27">
        <f t="shared" si="208"/>
        <v>0</v>
      </c>
      <c r="AX152" s="27">
        <f t="shared" si="209"/>
        <v>0</v>
      </c>
      <c r="AY152" s="27">
        <f t="shared" si="210"/>
        <v>0</v>
      </c>
      <c r="BH152" s="2">
        <f t="shared" si="211"/>
        <v>0</v>
      </c>
      <c r="BI152" s="298" t="str">
        <f t="shared" si="212"/>
        <v/>
      </c>
      <c r="BJ152" s="298" t="str">
        <f t="shared" si="181"/>
        <v/>
      </c>
      <c r="BQ152" s="4">
        <f t="shared" si="213"/>
        <v>45256</v>
      </c>
      <c r="BR152" s="112">
        <f t="shared" si="214"/>
        <v>0</v>
      </c>
      <c r="BS152" s="112">
        <f t="shared" si="215"/>
        <v>0</v>
      </c>
      <c r="BT152" s="112">
        <f t="shared" si="216"/>
        <v>0</v>
      </c>
      <c r="BU152" s="112">
        <f t="shared" si="217"/>
        <v>0</v>
      </c>
      <c r="BV152" s="112">
        <f t="shared" si="218"/>
        <v>0</v>
      </c>
      <c r="CI152" s="4">
        <f t="shared" si="219"/>
        <v>45256</v>
      </c>
      <c r="CJ152" s="50">
        <f ca="1">IF($BH152=0,IF($CO152="",CJ151+R152,IF('283'!$K$251=1,VLOOKUP($CO152,PerStBal,2)+R152,IF('283'!$K$253=1,(VLOOKUP($CO152,PerPortion,2)*VLOOKUP($CO152,PerStBal,6))+R152,GL!BS152))),0)</f>
        <v>0</v>
      </c>
      <c r="CK152" s="425">
        <f ca="1">IF($BH152=0,IF($CO152="",CK151+T152,IF('283'!$K$251=1,IF(mname2&lt;&gt;"",VLOOKUP($CO152,PerStBal,3)+T152,0),IF('283'!$K$253=1,(VLOOKUP($CO152,PerPortion,3)*VLOOKUP($CO152,PerStBal,6))+T152,GL!BT152))),0)</f>
        <v>0</v>
      </c>
      <c r="CL152" s="425">
        <f ca="1">IF($BH152=0,IF($CO152="",CL151+V152,IF('283'!$K$251=1,IF(mname3&lt;&gt;"",VLOOKUP($CO152,PerStBal,4)+V152,0),IF('283'!$K$253=1,(VLOOKUP($CO152,PerPortion,4)*VLOOKUP($CO152,PerStBal,6))+V152,GL!BU152))),0)</f>
        <v>0</v>
      </c>
      <c r="CM152" s="425">
        <f ca="1">IF($BH152=0,IF($CO152="",CM151+X152,IF('283'!$K$251=1,IF(mname4&lt;&gt;"",VLOOKUP($CO152,PerStBal,5)+X152,0),IF('283'!$K$253=1,(VLOOKUP($CO152,PerPortion,5)*VLOOKUP($CO152,PerStBal,6))+X152,GL!BV152))),0)</f>
        <v>0</v>
      </c>
      <c r="CN152" s="50">
        <f t="shared" ca="1" si="220"/>
        <v>0</v>
      </c>
      <c r="CO152" s="4" t="str">
        <f t="shared" ca="1" si="221"/>
        <v/>
      </c>
      <c r="CP152" s="377">
        <f t="shared" si="182"/>
        <v>0</v>
      </c>
      <c r="DI152" s="4">
        <f t="shared" si="222"/>
        <v>45256</v>
      </c>
      <c r="DJ152" s="112">
        <f t="shared" ca="1" si="223"/>
        <v>0</v>
      </c>
      <c r="DK152" s="112">
        <f t="shared" si="224"/>
        <v>0</v>
      </c>
      <c r="DL152" s="4">
        <f t="shared" si="225"/>
        <v>45256</v>
      </c>
      <c r="DM152" s="112">
        <f t="shared" ca="1" si="226"/>
        <v>0</v>
      </c>
      <c r="DN152" s="112">
        <f t="shared" si="227"/>
        <v>0</v>
      </c>
      <c r="DO152" s="4">
        <f t="shared" si="228"/>
        <v>45256</v>
      </c>
      <c r="DP152" s="112">
        <f t="shared" ca="1" si="229"/>
        <v>0</v>
      </c>
      <c r="DQ152" s="112">
        <f t="shared" si="230"/>
        <v>0</v>
      </c>
      <c r="DR152" s="4">
        <f t="shared" si="231"/>
        <v>45256</v>
      </c>
      <c r="DS152" s="112">
        <f t="shared" ca="1" si="232"/>
        <v>0</v>
      </c>
      <c r="DT152" s="112">
        <f t="shared" si="233"/>
        <v>0</v>
      </c>
      <c r="DU152" s="4">
        <f t="shared" si="234"/>
        <v>45256</v>
      </c>
      <c r="DV152" s="112">
        <f t="shared" si="235"/>
        <v>0</v>
      </c>
      <c r="DW152" s="112">
        <f t="shared" si="236"/>
        <v>0</v>
      </c>
    </row>
    <row r="153" spans="2:127" x14ac:dyDescent="0.25">
      <c r="B153" s="74">
        <f t="shared" si="245"/>
        <v>183</v>
      </c>
      <c r="C153" s="84">
        <f t="shared" si="237"/>
        <v>0</v>
      </c>
      <c r="D153" s="84">
        <f t="shared" si="237"/>
        <v>0</v>
      </c>
      <c r="E153" s="84">
        <f t="shared" si="237"/>
        <v>0</v>
      </c>
      <c r="F153" s="84">
        <f t="shared" si="237"/>
        <v>0</v>
      </c>
      <c r="H153" s="75">
        <f t="shared" si="239"/>
        <v>183</v>
      </c>
      <c r="I153" s="77">
        <f t="shared" si="240"/>
        <v>0</v>
      </c>
      <c r="J153" s="77">
        <f t="shared" si="241"/>
        <v>0</v>
      </c>
      <c r="K153" s="77">
        <f t="shared" si="242"/>
        <v>0</v>
      </c>
      <c r="L153" s="77">
        <f t="shared" si="243"/>
        <v>0</v>
      </c>
      <c r="M153" s="77">
        <f t="shared" si="244"/>
        <v>0</v>
      </c>
      <c r="Q153" s="4">
        <f t="shared" si="183"/>
        <v>45257</v>
      </c>
      <c r="R153" s="24">
        <f t="shared" si="184"/>
        <v>0</v>
      </c>
      <c r="S153" s="25">
        <f t="shared" si="185"/>
        <v>0</v>
      </c>
      <c r="T153" s="24">
        <f t="shared" si="186"/>
        <v>0</v>
      </c>
      <c r="U153" s="25">
        <f t="shared" si="187"/>
        <v>0</v>
      </c>
      <c r="V153" s="24">
        <f t="shared" si="188"/>
        <v>0</v>
      </c>
      <c r="W153" s="25">
        <f t="shared" si="189"/>
        <v>0</v>
      </c>
      <c r="X153" s="24">
        <f t="shared" si="190"/>
        <v>0</v>
      </c>
      <c r="Y153" s="26">
        <f t="shared" si="191"/>
        <v>0</v>
      </c>
      <c r="Z153" s="27">
        <f t="shared" si="192"/>
        <v>0</v>
      </c>
      <c r="AA153" s="28">
        <f t="shared" si="193"/>
        <v>45257</v>
      </c>
      <c r="AB153" s="24">
        <f t="shared" si="194"/>
        <v>0</v>
      </c>
      <c r="AC153" s="25">
        <f t="shared" si="195"/>
        <v>0</v>
      </c>
      <c r="AD153" s="28">
        <f t="shared" si="196"/>
        <v>45257</v>
      </c>
      <c r="AE153" s="24">
        <f t="shared" si="197"/>
        <v>0</v>
      </c>
      <c r="AF153" s="25">
        <f t="shared" si="198"/>
        <v>0</v>
      </c>
      <c r="AG153" s="28">
        <f t="shared" si="199"/>
        <v>45257</v>
      </c>
      <c r="AH153" s="24">
        <f t="shared" si="200"/>
        <v>0</v>
      </c>
      <c r="AI153" s="25">
        <f t="shared" si="201"/>
        <v>0</v>
      </c>
      <c r="AJ153" s="28">
        <f t="shared" si="202"/>
        <v>45257</v>
      </c>
      <c r="AK153" s="24">
        <f t="shared" si="203"/>
        <v>0</v>
      </c>
      <c r="AL153" s="25">
        <f t="shared" si="204"/>
        <v>0</v>
      </c>
      <c r="AM153" s="29">
        <f t="shared" si="205"/>
        <v>0</v>
      </c>
      <c r="AN153" s="28">
        <f t="shared" si="206"/>
        <v>45257</v>
      </c>
      <c r="AO153" s="373">
        <f t="shared" si="175"/>
        <v>0</v>
      </c>
      <c r="AP153" s="374">
        <f t="shared" si="176"/>
        <v>0</v>
      </c>
      <c r="AQ153" s="27">
        <f t="shared" si="177"/>
        <v>0</v>
      </c>
      <c r="AR153" s="25">
        <f t="shared" si="178"/>
        <v>0</v>
      </c>
      <c r="AS153" s="25">
        <f t="shared" si="179"/>
        <v>0</v>
      </c>
      <c r="AT153" s="25">
        <f t="shared" si="180"/>
        <v>0</v>
      </c>
      <c r="AU153" s="29">
        <f t="shared" si="238"/>
        <v>0</v>
      </c>
      <c r="AV153" s="27">
        <f t="shared" si="207"/>
        <v>0</v>
      </c>
      <c r="AW153" s="27">
        <f t="shared" si="208"/>
        <v>0</v>
      </c>
      <c r="AX153" s="27">
        <f t="shared" si="209"/>
        <v>0</v>
      </c>
      <c r="AY153" s="27">
        <f t="shared" si="210"/>
        <v>0</v>
      </c>
      <c r="BH153" s="2">
        <f t="shared" si="211"/>
        <v>0</v>
      </c>
      <c r="BI153" s="298" t="str">
        <f t="shared" si="212"/>
        <v/>
      </c>
      <c r="BJ153" s="298" t="str">
        <f t="shared" si="181"/>
        <v/>
      </c>
      <c r="BQ153" s="4">
        <f t="shared" si="213"/>
        <v>45257</v>
      </c>
      <c r="BR153" s="112">
        <f t="shared" si="214"/>
        <v>0</v>
      </c>
      <c r="BS153" s="112">
        <f t="shared" si="215"/>
        <v>0</v>
      </c>
      <c r="BT153" s="112">
        <f t="shared" si="216"/>
        <v>0</v>
      </c>
      <c r="BU153" s="112">
        <f t="shared" si="217"/>
        <v>0</v>
      </c>
      <c r="BV153" s="112">
        <f t="shared" si="218"/>
        <v>0</v>
      </c>
      <c r="CI153" s="4">
        <f t="shared" si="219"/>
        <v>45257</v>
      </c>
      <c r="CJ153" s="50">
        <f ca="1">IF($BH153=0,IF($CO153="",CJ152+R153,IF('283'!$K$251=1,VLOOKUP($CO153,PerStBal,2)+R153,IF('283'!$K$253=1,(VLOOKUP($CO153,PerPortion,2)*VLOOKUP($CO153,PerStBal,6))+R153,GL!BS153))),0)</f>
        <v>0</v>
      </c>
      <c r="CK153" s="425">
        <f ca="1">IF($BH153=0,IF($CO153="",CK152+T153,IF('283'!$K$251=1,IF(mname2&lt;&gt;"",VLOOKUP($CO153,PerStBal,3)+T153,0),IF('283'!$K$253=1,(VLOOKUP($CO153,PerPortion,3)*VLOOKUP($CO153,PerStBal,6))+T153,GL!BT153))),0)</f>
        <v>0</v>
      </c>
      <c r="CL153" s="425">
        <f ca="1">IF($BH153=0,IF($CO153="",CL152+V153,IF('283'!$K$251=1,IF(mname3&lt;&gt;"",VLOOKUP($CO153,PerStBal,4)+V153,0),IF('283'!$K$253=1,(VLOOKUP($CO153,PerPortion,4)*VLOOKUP($CO153,PerStBal,6))+V153,GL!BU153))),0)</f>
        <v>0</v>
      </c>
      <c r="CM153" s="425">
        <f ca="1">IF($BH153=0,IF($CO153="",CM152+X153,IF('283'!$K$251=1,IF(mname4&lt;&gt;"",VLOOKUP($CO153,PerStBal,5)+X153,0),IF('283'!$K$253=1,(VLOOKUP($CO153,PerPortion,5)*VLOOKUP($CO153,PerStBal,6))+X153,GL!BV153))),0)</f>
        <v>0</v>
      </c>
      <c r="CN153" s="50">
        <f t="shared" ca="1" si="220"/>
        <v>0</v>
      </c>
      <c r="CO153" s="4" t="str">
        <f t="shared" ca="1" si="221"/>
        <v/>
      </c>
      <c r="CP153" s="377">
        <f t="shared" si="182"/>
        <v>0</v>
      </c>
      <c r="DI153" s="4">
        <f t="shared" si="222"/>
        <v>45257</v>
      </c>
      <c r="DJ153" s="112">
        <f t="shared" ca="1" si="223"/>
        <v>0</v>
      </c>
      <c r="DK153" s="112">
        <f t="shared" si="224"/>
        <v>0</v>
      </c>
      <c r="DL153" s="4">
        <f t="shared" si="225"/>
        <v>45257</v>
      </c>
      <c r="DM153" s="112">
        <f t="shared" ca="1" si="226"/>
        <v>0</v>
      </c>
      <c r="DN153" s="112">
        <f t="shared" si="227"/>
        <v>0</v>
      </c>
      <c r="DO153" s="4">
        <f t="shared" si="228"/>
        <v>45257</v>
      </c>
      <c r="DP153" s="112">
        <f t="shared" ca="1" si="229"/>
        <v>0</v>
      </c>
      <c r="DQ153" s="112">
        <f t="shared" si="230"/>
        <v>0</v>
      </c>
      <c r="DR153" s="4">
        <f t="shared" si="231"/>
        <v>45257</v>
      </c>
      <c r="DS153" s="112">
        <f t="shared" ca="1" si="232"/>
        <v>0</v>
      </c>
      <c r="DT153" s="112">
        <f t="shared" si="233"/>
        <v>0</v>
      </c>
      <c r="DU153" s="4">
        <f t="shared" si="234"/>
        <v>45257</v>
      </c>
      <c r="DV153" s="112">
        <f t="shared" si="235"/>
        <v>0</v>
      </c>
      <c r="DW153" s="112">
        <f t="shared" si="236"/>
        <v>0</v>
      </c>
    </row>
    <row r="154" spans="2:127" x14ac:dyDescent="0.25">
      <c r="B154" s="74">
        <f t="shared" si="245"/>
        <v>183</v>
      </c>
      <c r="C154" s="84">
        <f t="shared" ref="C154:F173" si="246">IF(AND($C45&lt;&gt;"",D45&lt;&gt;""),(YearEnd-$C45)/DaysInYear*-D45,0)</f>
        <v>0</v>
      </c>
      <c r="D154" s="84">
        <f t="shared" si="246"/>
        <v>0</v>
      </c>
      <c r="E154" s="84">
        <f t="shared" si="246"/>
        <v>0</v>
      </c>
      <c r="F154" s="84">
        <f t="shared" si="246"/>
        <v>0</v>
      </c>
      <c r="H154" s="75">
        <f t="shared" si="239"/>
        <v>183</v>
      </c>
      <c r="I154" s="77">
        <f t="shared" si="240"/>
        <v>0</v>
      </c>
      <c r="J154" s="77">
        <f t="shared" si="241"/>
        <v>0</v>
      </c>
      <c r="K154" s="77">
        <f t="shared" si="242"/>
        <v>0</v>
      </c>
      <c r="L154" s="77">
        <f t="shared" si="243"/>
        <v>0</v>
      </c>
      <c r="M154" s="77">
        <f t="shared" si="244"/>
        <v>0</v>
      </c>
      <c r="Q154" s="4">
        <f t="shared" si="183"/>
        <v>45258</v>
      </c>
      <c r="R154" s="24">
        <f t="shared" si="184"/>
        <v>0</v>
      </c>
      <c r="S154" s="25">
        <f t="shared" si="185"/>
        <v>0</v>
      </c>
      <c r="T154" s="24">
        <f t="shared" si="186"/>
        <v>0</v>
      </c>
      <c r="U154" s="25">
        <f t="shared" si="187"/>
        <v>0</v>
      </c>
      <c r="V154" s="24">
        <f t="shared" si="188"/>
        <v>0</v>
      </c>
      <c r="W154" s="25">
        <f t="shared" si="189"/>
        <v>0</v>
      </c>
      <c r="X154" s="24">
        <f t="shared" si="190"/>
        <v>0</v>
      </c>
      <c r="Y154" s="26">
        <f t="shared" si="191"/>
        <v>0</v>
      </c>
      <c r="Z154" s="27">
        <f t="shared" si="192"/>
        <v>0</v>
      </c>
      <c r="AA154" s="28">
        <f t="shared" si="193"/>
        <v>45258</v>
      </c>
      <c r="AB154" s="24">
        <f t="shared" si="194"/>
        <v>0</v>
      </c>
      <c r="AC154" s="25">
        <f t="shared" si="195"/>
        <v>0</v>
      </c>
      <c r="AD154" s="28">
        <f t="shared" si="196"/>
        <v>45258</v>
      </c>
      <c r="AE154" s="24">
        <f t="shared" si="197"/>
        <v>0</v>
      </c>
      <c r="AF154" s="25">
        <f t="shared" si="198"/>
        <v>0</v>
      </c>
      <c r="AG154" s="28">
        <f t="shared" si="199"/>
        <v>45258</v>
      </c>
      <c r="AH154" s="24">
        <f t="shared" si="200"/>
        <v>0</v>
      </c>
      <c r="AI154" s="25">
        <f t="shared" si="201"/>
        <v>0</v>
      </c>
      <c r="AJ154" s="28">
        <f t="shared" si="202"/>
        <v>45258</v>
      </c>
      <c r="AK154" s="24">
        <f t="shared" si="203"/>
        <v>0</v>
      </c>
      <c r="AL154" s="25">
        <f t="shared" si="204"/>
        <v>0</v>
      </c>
      <c r="AM154" s="29">
        <f t="shared" si="205"/>
        <v>0</v>
      </c>
      <c r="AN154" s="28">
        <f t="shared" si="206"/>
        <v>45258</v>
      </c>
      <c r="AO154" s="373">
        <f t="shared" si="175"/>
        <v>0</v>
      </c>
      <c r="AP154" s="374">
        <f t="shared" si="176"/>
        <v>0</v>
      </c>
      <c r="AQ154" s="27">
        <f t="shared" si="177"/>
        <v>0</v>
      </c>
      <c r="AR154" s="25">
        <f t="shared" si="178"/>
        <v>0</v>
      </c>
      <c r="AS154" s="25">
        <f t="shared" si="179"/>
        <v>0</v>
      </c>
      <c r="AT154" s="25">
        <f t="shared" si="180"/>
        <v>0</v>
      </c>
      <c r="AU154" s="29">
        <f t="shared" si="238"/>
        <v>0</v>
      </c>
      <c r="AV154" s="27">
        <f t="shared" si="207"/>
        <v>0</v>
      </c>
      <c r="AW154" s="27">
        <f t="shared" si="208"/>
        <v>0</v>
      </c>
      <c r="AX154" s="27">
        <f t="shared" si="209"/>
        <v>0</v>
      </c>
      <c r="AY154" s="27">
        <f t="shared" si="210"/>
        <v>0</v>
      </c>
      <c r="BH154" s="2">
        <f t="shared" si="211"/>
        <v>0</v>
      </c>
      <c r="BI154" s="298" t="str">
        <f t="shared" si="212"/>
        <v/>
      </c>
      <c r="BJ154" s="298" t="str">
        <f t="shared" si="181"/>
        <v/>
      </c>
      <c r="BQ154" s="4">
        <f t="shared" si="213"/>
        <v>45258</v>
      </c>
      <c r="BR154" s="112">
        <f t="shared" si="214"/>
        <v>0</v>
      </c>
      <c r="BS154" s="112">
        <f t="shared" si="215"/>
        <v>0</v>
      </c>
      <c r="BT154" s="112">
        <f t="shared" si="216"/>
        <v>0</v>
      </c>
      <c r="BU154" s="112">
        <f t="shared" si="217"/>
        <v>0</v>
      </c>
      <c r="BV154" s="112">
        <f t="shared" si="218"/>
        <v>0</v>
      </c>
      <c r="CI154" s="4">
        <f t="shared" si="219"/>
        <v>45258</v>
      </c>
      <c r="CJ154" s="50">
        <f ca="1">IF($BH154=0,IF($CO154="",CJ153+R154,IF('283'!$K$251=1,VLOOKUP($CO154,PerStBal,2)+R154,IF('283'!$K$253=1,(VLOOKUP($CO154,PerPortion,2)*VLOOKUP($CO154,PerStBal,6))+R154,GL!BS154))),0)</f>
        <v>0</v>
      </c>
      <c r="CK154" s="425">
        <f ca="1">IF($BH154=0,IF($CO154="",CK153+T154,IF('283'!$K$251=1,IF(mname2&lt;&gt;"",VLOOKUP($CO154,PerStBal,3)+T154,0),IF('283'!$K$253=1,(VLOOKUP($CO154,PerPortion,3)*VLOOKUP($CO154,PerStBal,6))+T154,GL!BT154))),0)</f>
        <v>0</v>
      </c>
      <c r="CL154" s="425">
        <f ca="1">IF($BH154=0,IF($CO154="",CL153+V154,IF('283'!$K$251=1,IF(mname3&lt;&gt;"",VLOOKUP($CO154,PerStBal,4)+V154,0),IF('283'!$K$253=1,(VLOOKUP($CO154,PerPortion,4)*VLOOKUP($CO154,PerStBal,6))+V154,GL!BU154))),0)</f>
        <v>0</v>
      </c>
      <c r="CM154" s="425">
        <f ca="1">IF($BH154=0,IF($CO154="",CM153+X154,IF('283'!$K$251=1,IF(mname4&lt;&gt;"",VLOOKUP($CO154,PerStBal,5)+X154,0),IF('283'!$K$253=1,(VLOOKUP($CO154,PerPortion,5)*VLOOKUP($CO154,PerStBal,6))+X154,GL!BV154))),0)</f>
        <v>0</v>
      </c>
      <c r="CN154" s="50">
        <f t="shared" ca="1" si="220"/>
        <v>0</v>
      </c>
      <c r="CO154" s="4" t="str">
        <f t="shared" ca="1" si="221"/>
        <v/>
      </c>
      <c r="CP154" s="377">
        <f t="shared" si="182"/>
        <v>0</v>
      </c>
      <c r="DI154" s="4">
        <f t="shared" si="222"/>
        <v>45258</v>
      </c>
      <c r="DJ154" s="112">
        <f t="shared" ca="1" si="223"/>
        <v>0</v>
      </c>
      <c r="DK154" s="112">
        <f t="shared" si="224"/>
        <v>0</v>
      </c>
      <c r="DL154" s="4">
        <f t="shared" si="225"/>
        <v>45258</v>
      </c>
      <c r="DM154" s="112">
        <f t="shared" ca="1" si="226"/>
        <v>0</v>
      </c>
      <c r="DN154" s="112">
        <f t="shared" si="227"/>
        <v>0</v>
      </c>
      <c r="DO154" s="4">
        <f t="shared" si="228"/>
        <v>45258</v>
      </c>
      <c r="DP154" s="112">
        <f t="shared" ca="1" si="229"/>
        <v>0</v>
      </c>
      <c r="DQ154" s="112">
        <f t="shared" si="230"/>
        <v>0</v>
      </c>
      <c r="DR154" s="4">
        <f t="shared" si="231"/>
        <v>45258</v>
      </c>
      <c r="DS154" s="112">
        <f t="shared" ca="1" si="232"/>
        <v>0</v>
      </c>
      <c r="DT154" s="112">
        <f t="shared" si="233"/>
        <v>0</v>
      </c>
      <c r="DU154" s="4">
        <f t="shared" si="234"/>
        <v>45258</v>
      </c>
      <c r="DV154" s="112">
        <f t="shared" si="235"/>
        <v>0</v>
      </c>
      <c r="DW154" s="112">
        <f t="shared" si="236"/>
        <v>0</v>
      </c>
    </row>
    <row r="155" spans="2:127" x14ac:dyDescent="0.25">
      <c r="B155" s="74">
        <f t="shared" si="245"/>
        <v>183</v>
      </c>
      <c r="C155" s="84">
        <f t="shared" si="246"/>
        <v>0</v>
      </c>
      <c r="D155" s="84">
        <f t="shared" si="246"/>
        <v>0</v>
      </c>
      <c r="E155" s="84">
        <f t="shared" si="246"/>
        <v>0</v>
      </c>
      <c r="F155" s="84">
        <f t="shared" si="246"/>
        <v>0</v>
      </c>
      <c r="H155" s="75">
        <f t="shared" si="239"/>
        <v>183</v>
      </c>
      <c r="I155" s="77">
        <f t="shared" si="240"/>
        <v>0</v>
      </c>
      <c r="J155" s="77">
        <f t="shared" si="241"/>
        <v>0</v>
      </c>
      <c r="K155" s="77">
        <f t="shared" si="242"/>
        <v>0</v>
      </c>
      <c r="L155" s="77">
        <f t="shared" si="243"/>
        <v>0</v>
      </c>
      <c r="M155" s="77">
        <f t="shared" si="244"/>
        <v>0</v>
      </c>
      <c r="Q155" s="4">
        <f t="shared" si="183"/>
        <v>45259</v>
      </c>
      <c r="R155" s="24">
        <f t="shared" si="184"/>
        <v>0</v>
      </c>
      <c r="S155" s="25">
        <f t="shared" si="185"/>
        <v>0</v>
      </c>
      <c r="T155" s="24">
        <f t="shared" si="186"/>
        <v>0</v>
      </c>
      <c r="U155" s="25">
        <f t="shared" si="187"/>
        <v>0</v>
      </c>
      <c r="V155" s="24">
        <f t="shared" si="188"/>
        <v>0</v>
      </c>
      <c r="W155" s="25">
        <f t="shared" si="189"/>
        <v>0</v>
      </c>
      <c r="X155" s="24">
        <f t="shared" si="190"/>
        <v>0</v>
      </c>
      <c r="Y155" s="26">
        <f t="shared" si="191"/>
        <v>0</v>
      </c>
      <c r="Z155" s="27">
        <f t="shared" si="192"/>
        <v>0</v>
      </c>
      <c r="AA155" s="28">
        <f t="shared" si="193"/>
        <v>45259</v>
      </c>
      <c r="AB155" s="24">
        <f t="shared" si="194"/>
        <v>0</v>
      </c>
      <c r="AC155" s="25">
        <f t="shared" si="195"/>
        <v>0</v>
      </c>
      <c r="AD155" s="28">
        <f t="shared" si="196"/>
        <v>45259</v>
      </c>
      <c r="AE155" s="24">
        <f t="shared" si="197"/>
        <v>0</v>
      </c>
      <c r="AF155" s="25">
        <f t="shared" si="198"/>
        <v>0</v>
      </c>
      <c r="AG155" s="28">
        <f t="shared" si="199"/>
        <v>45259</v>
      </c>
      <c r="AH155" s="24">
        <f t="shared" si="200"/>
        <v>0</v>
      </c>
      <c r="AI155" s="25">
        <f t="shared" si="201"/>
        <v>0</v>
      </c>
      <c r="AJ155" s="28">
        <f t="shared" si="202"/>
        <v>45259</v>
      </c>
      <c r="AK155" s="24">
        <f t="shared" si="203"/>
        <v>0</v>
      </c>
      <c r="AL155" s="25">
        <f t="shared" si="204"/>
        <v>0</v>
      </c>
      <c r="AM155" s="29">
        <f t="shared" si="205"/>
        <v>0</v>
      </c>
      <c r="AN155" s="28">
        <f t="shared" si="206"/>
        <v>45259</v>
      </c>
      <c r="AO155" s="373">
        <f t="shared" si="175"/>
        <v>0</v>
      </c>
      <c r="AP155" s="374">
        <f t="shared" si="176"/>
        <v>0</v>
      </c>
      <c r="AQ155" s="27">
        <f t="shared" si="177"/>
        <v>0</v>
      </c>
      <c r="AR155" s="25">
        <f t="shared" si="178"/>
        <v>0</v>
      </c>
      <c r="AS155" s="25">
        <f t="shared" si="179"/>
        <v>0</v>
      </c>
      <c r="AT155" s="25">
        <f t="shared" si="180"/>
        <v>0</v>
      </c>
      <c r="AU155" s="29">
        <f t="shared" si="238"/>
        <v>0</v>
      </c>
      <c r="AV155" s="27">
        <f t="shared" si="207"/>
        <v>0</v>
      </c>
      <c r="AW155" s="27">
        <f t="shared" si="208"/>
        <v>0</v>
      </c>
      <c r="AX155" s="27">
        <f t="shared" si="209"/>
        <v>0</v>
      </c>
      <c r="AY155" s="27">
        <f t="shared" si="210"/>
        <v>0</v>
      </c>
      <c r="BH155" s="2">
        <f t="shared" si="211"/>
        <v>0</v>
      </c>
      <c r="BI155" s="298" t="str">
        <f t="shared" si="212"/>
        <v/>
      </c>
      <c r="BJ155" s="298" t="str">
        <f t="shared" si="181"/>
        <v/>
      </c>
      <c r="BQ155" s="4">
        <f t="shared" si="213"/>
        <v>45259</v>
      </c>
      <c r="BR155" s="112">
        <f t="shared" si="214"/>
        <v>0</v>
      </c>
      <c r="BS155" s="112">
        <f t="shared" si="215"/>
        <v>0</v>
      </c>
      <c r="BT155" s="112">
        <f t="shared" si="216"/>
        <v>0</v>
      </c>
      <c r="BU155" s="112">
        <f t="shared" si="217"/>
        <v>0</v>
      </c>
      <c r="BV155" s="112">
        <f t="shared" si="218"/>
        <v>0</v>
      </c>
      <c r="CI155" s="4">
        <f t="shared" si="219"/>
        <v>45259</v>
      </c>
      <c r="CJ155" s="50">
        <f ca="1">IF($BH155=0,IF($CO155="",CJ154+R155,IF('283'!$K$251=1,VLOOKUP($CO155,PerStBal,2)+R155,IF('283'!$K$253=1,(VLOOKUP($CO155,PerPortion,2)*VLOOKUP($CO155,PerStBal,6))+R155,GL!BS155))),0)</f>
        <v>0</v>
      </c>
      <c r="CK155" s="425">
        <f ca="1">IF($BH155=0,IF($CO155="",CK154+T155,IF('283'!$K$251=1,IF(mname2&lt;&gt;"",VLOOKUP($CO155,PerStBal,3)+T155,0),IF('283'!$K$253=1,(VLOOKUP($CO155,PerPortion,3)*VLOOKUP($CO155,PerStBal,6))+T155,GL!BT155))),0)</f>
        <v>0</v>
      </c>
      <c r="CL155" s="425">
        <f ca="1">IF($BH155=0,IF($CO155="",CL154+V155,IF('283'!$K$251=1,IF(mname3&lt;&gt;"",VLOOKUP($CO155,PerStBal,4)+V155,0),IF('283'!$K$253=1,(VLOOKUP($CO155,PerPortion,4)*VLOOKUP($CO155,PerStBal,6))+V155,GL!BU155))),0)</f>
        <v>0</v>
      </c>
      <c r="CM155" s="425">
        <f ca="1">IF($BH155=0,IF($CO155="",CM154+X155,IF('283'!$K$251=1,IF(mname4&lt;&gt;"",VLOOKUP($CO155,PerStBal,5)+X155,0),IF('283'!$K$253=1,(VLOOKUP($CO155,PerPortion,5)*VLOOKUP($CO155,PerStBal,6))+X155,GL!BV155))),0)</f>
        <v>0</v>
      </c>
      <c r="CN155" s="50">
        <f t="shared" ca="1" si="220"/>
        <v>0</v>
      </c>
      <c r="CO155" s="4" t="str">
        <f t="shared" ca="1" si="221"/>
        <v/>
      </c>
      <c r="CP155" s="377">
        <f t="shared" si="182"/>
        <v>0</v>
      </c>
      <c r="DI155" s="4">
        <f t="shared" si="222"/>
        <v>45259</v>
      </c>
      <c r="DJ155" s="112">
        <f t="shared" ca="1" si="223"/>
        <v>0</v>
      </c>
      <c r="DK155" s="112">
        <f t="shared" si="224"/>
        <v>0</v>
      </c>
      <c r="DL155" s="4">
        <f t="shared" si="225"/>
        <v>45259</v>
      </c>
      <c r="DM155" s="112">
        <f t="shared" ca="1" si="226"/>
        <v>0</v>
      </c>
      <c r="DN155" s="112">
        <f t="shared" si="227"/>
        <v>0</v>
      </c>
      <c r="DO155" s="4">
        <f t="shared" si="228"/>
        <v>45259</v>
      </c>
      <c r="DP155" s="112">
        <f t="shared" ca="1" si="229"/>
        <v>0</v>
      </c>
      <c r="DQ155" s="112">
        <f t="shared" si="230"/>
        <v>0</v>
      </c>
      <c r="DR155" s="4">
        <f t="shared" si="231"/>
        <v>45259</v>
      </c>
      <c r="DS155" s="112">
        <f t="shared" ca="1" si="232"/>
        <v>0</v>
      </c>
      <c r="DT155" s="112">
        <f t="shared" si="233"/>
        <v>0</v>
      </c>
      <c r="DU155" s="4">
        <f t="shared" si="234"/>
        <v>45259</v>
      </c>
      <c r="DV155" s="112">
        <f t="shared" si="235"/>
        <v>0</v>
      </c>
      <c r="DW155" s="112">
        <f t="shared" si="236"/>
        <v>0</v>
      </c>
    </row>
    <row r="156" spans="2:127" x14ac:dyDescent="0.25">
      <c r="B156" s="74">
        <f t="shared" si="245"/>
        <v>183</v>
      </c>
      <c r="C156" s="84">
        <f t="shared" si="246"/>
        <v>0</v>
      </c>
      <c r="D156" s="84">
        <f t="shared" si="246"/>
        <v>0</v>
      </c>
      <c r="E156" s="84">
        <f t="shared" si="246"/>
        <v>0</v>
      </c>
      <c r="F156" s="84">
        <f t="shared" si="246"/>
        <v>0</v>
      </c>
      <c r="H156" s="75">
        <f t="shared" si="239"/>
        <v>183</v>
      </c>
      <c r="I156" s="77">
        <f t="shared" si="240"/>
        <v>0</v>
      </c>
      <c r="J156" s="77">
        <f t="shared" si="241"/>
        <v>0</v>
      </c>
      <c r="K156" s="77">
        <f t="shared" si="242"/>
        <v>0</v>
      </c>
      <c r="L156" s="77">
        <f t="shared" si="243"/>
        <v>0</v>
      </c>
      <c r="M156" s="77">
        <f t="shared" si="244"/>
        <v>0</v>
      </c>
      <c r="Q156" s="4">
        <f t="shared" si="183"/>
        <v>45260</v>
      </c>
      <c r="R156" s="24">
        <f t="shared" si="184"/>
        <v>0</v>
      </c>
      <c r="S156" s="25">
        <f t="shared" si="185"/>
        <v>0</v>
      </c>
      <c r="T156" s="24">
        <f t="shared" si="186"/>
        <v>0</v>
      </c>
      <c r="U156" s="25">
        <f t="shared" si="187"/>
        <v>0</v>
      </c>
      <c r="V156" s="24">
        <f t="shared" si="188"/>
        <v>0</v>
      </c>
      <c r="W156" s="25">
        <f t="shared" si="189"/>
        <v>0</v>
      </c>
      <c r="X156" s="24">
        <f t="shared" si="190"/>
        <v>0</v>
      </c>
      <c r="Y156" s="26">
        <f t="shared" si="191"/>
        <v>0</v>
      </c>
      <c r="Z156" s="27">
        <f t="shared" si="192"/>
        <v>0</v>
      </c>
      <c r="AA156" s="28">
        <f t="shared" si="193"/>
        <v>45260</v>
      </c>
      <c r="AB156" s="24">
        <f t="shared" si="194"/>
        <v>0</v>
      </c>
      <c r="AC156" s="25">
        <f t="shared" si="195"/>
        <v>0</v>
      </c>
      <c r="AD156" s="28">
        <f t="shared" si="196"/>
        <v>45260</v>
      </c>
      <c r="AE156" s="24">
        <f t="shared" si="197"/>
        <v>0</v>
      </c>
      <c r="AF156" s="25">
        <f t="shared" si="198"/>
        <v>0</v>
      </c>
      <c r="AG156" s="28">
        <f t="shared" si="199"/>
        <v>45260</v>
      </c>
      <c r="AH156" s="24">
        <f t="shared" si="200"/>
        <v>0</v>
      </c>
      <c r="AI156" s="25">
        <f t="shared" si="201"/>
        <v>0</v>
      </c>
      <c r="AJ156" s="28">
        <f t="shared" si="202"/>
        <v>45260</v>
      </c>
      <c r="AK156" s="24">
        <f t="shared" si="203"/>
        <v>0</v>
      </c>
      <c r="AL156" s="25">
        <f t="shared" si="204"/>
        <v>0</v>
      </c>
      <c r="AM156" s="29">
        <f t="shared" si="205"/>
        <v>0</v>
      </c>
      <c r="AN156" s="28">
        <f t="shared" si="206"/>
        <v>45260</v>
      </c>
      <c r="AO156" s="373">
        <f t="shared" si="175"/>
        <v>0</v>
      </c>
      <c r="AP156" s="374">
        <f t="shared" si="176"/>
        <v>0</v>
      </c>
      <c r="AQ156" s="27">
        <f t="shared" si="177"/>
        <v>0</v>
      </c>
      <c r="AR156" s="25">
        <f t="shared" si="178"/>
        <v>0</v>
      </c>
      <c r="AS156" s="25">
        <f t="shared" si="179"/>
        <v>0</v>
      </c>
      <c r="AT156" s="25">
        <f t="shared" si="180"/>
        <v>0</v>
      </c>
      <c r="AU156" s="29">
        <f t="shared" si="238"/>
        <v>0</v>
      </c>
      <c r="AV156" s="27">
        <f t="shared" si="207"/>
        <v>0</v>
      </c>
      <c r="AW156" s="27">
        <f t="shared" si="208"/>
        <v>0</v>
      </c>
      <c r="AX156" s="27">
        <f t="shared" si="209"/>
        <v>0</v>
      </c>
      <c r="AY156" s="27">
        <f t="shared" si="210"/>
        <v>0</v>
      </c>
      <c r="BH156" s="2">
        <f t="shared" si="211"/>
        <v>0</v>
      </c>
      <c r="BI156" s="298" t="str">
        <f t="shared" si="212"/>
        <v/>
      </c>
      <c r="BJ156" s="298" t="str">
        <f t="shared" si="181"/>
        <v/>
      </c>
      <c r="BQ156" s="4">
        <f t="shared" si="213"/>
        <v>45260</v>
      </c>
      <c r="BR156" s="112">
        <f t="shared" si="214"/>
        <v>0</v>
      </c>
      <c r="BS156" s="112">
        <f t="shared" si="215"/>
        <v>0</v>
      </c>
      <c r="BT156" s="112">
        <f t="shared" si="216"/>
        <v>0</v>
      </c>
      <c r="BU156" s="112">
        <f t="shared" si="217"/>
        <v>0</v>
      </c>
      <c r="BV156" s="112">
        <f t="shared" si="218"/>
        <v>0</v>
      </c>
      <c r="CI156" s="4">
        <f t="shared" si="219"/>
        <v>45260</v>
      </c>
      <c r="CJ156" s="50">
        <f ca="1">IF($BH156=0,IF($CO156="",CJ155+R156,IF('283'!$K$251=1,VLOOKUP($CO156,PerStBal,2)+R156,IF('283'!$K$253=1,(VLOOKUP($CO156,PerPortion,2)*VLOOKUP($CO156,PerStBal,6))+R156,GL!BS156))),0)</f>
        <v>0</v>
      </c>
      <c r="CK156" s="425">
        <f ca="1">IF($BH156=0,IF($CO156="",CK155+T156,IF('283'!$K$251=1,IF(mname2&lt;&gt;"",VLOOKUP($CO156,PerStBal,3)+T156,0),IF('283'!$K$253=1,(VLOOKUP($CO156,PerPortion,3)*VLOOKUP($CO156,PerStBal,6))+T156,GL!BT156))),0)</f>
        <v>0</v>
      </c>
      <c r="CL156" s="425">
        <f ca="1">IF($BH156=0,IF($CO156="",CL155+V156,IF('283'!$K$251=1,IF(mname3&lt;&gt;"",VLOOKUP($CO156,PerStBal,4)+V156,0),IF('283'!$K$253=1,(VLOOKUP($CO156,PerPortion,4)*VLOOKUP($CO156,PerStBal,6))+V156,GL!BU156))),0)</f>
        <v>0</v>
      </c>
      <c r="CM156" s="425">
        <f ca="1">IF($BH156=0,IF($CO156="",CM155+X156,IF('283'!$K$251=1,IF(mname4&lt;&gt;"",VLOOKUP($CO156,PerStBal,5)+X156,0),IF('283'!$K$253=1,(VLOOKUP($CO156,PerPortion,5)*VLOOKUP($CO156,PerStBal,6))+X156,GL!BV156))),0)</f>
        <v>0</v>
      </c>
      <c r="CN156" s="50">
        <f t="shared" ca="1" si="220"/>
        <v>0</v>
      </c>
      <c r="CO156" s="4" t="str">
        <f t="shared" ca="1" si="221"/>
        <v/>
      </c>
      <c r="CP156" s="377">
        <f t="shared" si="182"/>
        <v>0</v>
      </c>
      <c r="DI156" s="4">
        <f t="shared" si="222"/>
        <v>45260</v>
      </c>
      <c r="DJ156" s="112">
        <f t="shared" ca="1" si="223"/>
        <v>0</v>
      </c>
      <c r="DK156" s="112">
        <f t="shared" si="224"/>
        <v>0</v>
      </c>
      <c r="DL156" s="4">
        <f t="shared" si="225"/>
        <v>45260</v>
      </c>
      <c r="DM156" s="112">
        <f t="shared" ca="1" si="226"/>
        <v>0</v>
      </c>
      <c r="DN156" s="112">
        <f t="shared" si="227"/>
        <v>0</v>
      </c>
      <c r="DO156" s="4">
        <f t="shared" si="228"/>
        <v>45260</v>
      </c>
      <c r="DP156" s="112">
        <f t="shared" ca="1" si="229"/>
        <v>0</v>
      </c>
      <c r="DQ156" s="112">
        <f t="shared" si="230"/>
        <v>0</v>
      </c>
      <c r="DR156" s="4">
        <f t="shared" si="231"/>
        <v>45260</v>
      </c>
      <c r="DS156" s="112">
        <f t="shared" ca="1" si="232"/>
        <v>0</v>
      </c>
      <c r="DT156" s="112">
        <f t="shared" si="233"/>
        <v>0</v>
      </c>
      <c r="DU156" s="4">
        <f t="shared" si="234"/>
        <v>45260</v>
      </c>
      <c r="DV156" s="112">
        <f t="shared" si="235"/>
        <v>0</v>
      </c>
      <c r="DW156" s="112">
        <f t="shared" si="236"/>
        <v>0</v>
      </c>
    </row>
    <row r="157" spans="2:127" x14ac:dyDescent="0.25">
      <c r="B157" s="74">
        <f t="shared" si="245"/>
        <v>183</v>
      </c>
      <c r="C157" s="84">
        <f t="shared" si="246"/>
        <v>0</v>
      </c>
      <c r="D157" s="84">
        <f t="shared" si="246"/>
        <v>0</v>
      </c>
      <c r="E157" s="84">
        <f t="shared" si="246"/>
        <v>0</v>
      </c>
      <c r="F157" s="84">
        <f t="shared" si="246"/>
        <v>0</v>
      </c>
      <c r="H157" s="75">
        <f t="shared" si="239"/>
        <v>183</v>
      </c>
      <c r="I157" s="77">
        <f t="shared" si="240"/>
        <v>0</v>
      </c>
      <c r="J157" s="77">
        <f t="shared" si="241"/>
        <v>0</v>
      </c>
      <c r="K157" s="77">
        <f t="shared" si="242"/>
        <v>0</v>
      </c>
      <c r="L157" s="77">
        <f t="shared" si="243"/>
        <v>0</v>
      </c>
      <c r="M157" s="77">
        <f t="shared" si="244"/>
        <v>0</v>
      </c>
      <c r="Q157" s="4">
        <f t="shared" si="183"/>
        <v>45261</v>
      </c>
      <c r="R157" s="24">
        <f t="shared" si="184"/>
        <v>0</v>
      </c>
      <c r="S157" s="25">
        <f t="shared" si="185"/>
        <v>0</v>
      </c>
      <c r="T157" s="24">
        <f t="shared" si="186"/>
        <v>0</v>
      </c>
      <c r="U157" s="25">
        <f t="shared" si="187"/>
        <v>0</v>
      </c>
      <c r="V157" s="24">
        <f t="shared" si="188"/>
        <v>0</v>
      </c>
      <c r="W157" s="25">
        <f t="shared" si="189"/>
        <v>0</v>
      </c>
      <c r="X157" s="24">
        <f t="shared" si="190"/>
        <v>0</v>
      </c>
      <c r="Y157" s="26">
        <f t="shared" si="191"/>
        <v>0</v>
      </c>
      <c r="Z157" s="27">
        <f t="shared" si="192"/>
        <v>0</v>
      </c>
      <c r="AA157" s="28">
        <f t="shared" si="193"/>
        <v>45261</v>
      </c>
      <c r="AB157" s="24">
        <f>AB156+R157</f>
        <v>0</v>
      </c>
      <c r="AC157" s="25">
        <f t="shared" si="195"/>
        <v>0</v>
      </c>
      <c r="AD157" s="28">
        <f t="shared" si="196"/>
        <v>45261</v>
      </c>
      <c r="AE157" s="24">
        <f t="shared" si="197"/>
        <v>0</v>
      </c>
      <c r="AF157" s="25">
        <f t="shared" si="198"/>
        <v>0</v>
      </c>
      <c r="AG157" s="28">
        <f t="shared" si="199"/>
        <v>45261</v>
      </c>
      <c r="AH157" s="24">
        <f t="shared" si="200"/>
        <v>0</v>
      </c>
      <c r="AI157" s="25">
        <f t="shared" si="201"/>
        <v>0</v>
      </c>
      <c r="AJ157" s="28">
        <f t="shared" si="202"/>
        <v>45261</v>
      </c>
      <c r="AK157" s="24">
        <f t="shared" si="203"/>
        <v>0</v>
      </c>
      <c r="AL157" s="25">
        <f t="shared" si="204"/>
        <v>0</v>
      </c>
      <c r="AM157" s="29">
        <f t="shared" si="205"/>
        <v>0</v>
      </c>
      <c r="AN157" s="28">
        <f t="shared" si="206"/>
        <v>45261</v>
      </c>
      <c r="AO157" s="373">
        <f t="shared" si="175"/>
        <v>0</v>
      </c>
      <c r="AP157" s="374">
        <f t="shared" si="176"/>
        <v>0</v>
      </c>
      <c r="AQ157" s="27">
        <f t="shared" si="177"/>
        <v>0</v>
      </c>
      <c r="AR157" s="25">
        <f t="shared" si="178"/>
        <v>0</v>
      </c>
      <c r="AS157" s="25">
        <f t="shared" si="179"/>
        <v>0</v>
      </c>
      <c r="AT157" s="25">
        <f t="shared" si="180"/>
        <v>0</v>
      </c>
      <c r="AU157" s="29">
        <f t="shared" si="238"/>
        <v>0</v>
      </c>
      <c r="AV157" s="27">
        <f t="shared" si="207"/>
        <v>0</v>
      </c>
      <c r="AW157" s="27">
        <f t="shared" si="208"/>
        <v>0</v>
      </c>
      <c r="AX157" s="27">
        <f t="shared" si="209"/>
        <v>0</v>
      </c>
      <c r="AY157" s="27">
        <f t="shared" si="210"/>
        <v>0</v>
      </c>
      <c r="BH157" s="2">
        <f t="shared" si="211"/>
        <v>0</v>
      </c>
      <c r="BI157" s="298" t="str">
        <f t="shared" si="212"/>
        <v/>
      </c>
      <c r="BJ157" s="298" t="str">
        <f t="shared" si="181"/>
        <v/>
      </c>
      <c r="BQ157" s="4">
        <f t="shared" si="213"/>
        <v>45261</v>
      </c>
      <c r="BR157" s="112">
        <f t="shared" si="214"/>
        <v>0</v>
      </c>
      <c r="BS157" s="112">
        <f t="shared" si="215"/>
        <v>0</v>
      </c>
      <c r="BT157" s="112">
        <f t="shared" si="216"/>
        <v>0</v>
      </c>
      <c r="BU157" s="112">
        <f t="shared" si="217"/>
        <v>0</v>
      </c>
      <c r="BV157" s="112">
        <f t="shared" si="218"/>
        <v>0</v>
      </c>
      <c r="CI157" s="4">
        <f t="shared" si="219"/>
        <v>45261</v>
      </c>
      <c r="CJ157" s="50">
        <f ca="1">IF($BH157=0,IF($CO157="",CJ156+R157,IF('283'!$K$251=1,VLOOKUP($CO157,PerStBal,2)+R157,IF('283'!$K$253=1,(VLOOKUP($CO157,PerPortion,2)*VLOOKUP($CO157,PerStBal,6))+R157,GL!BS157))),0)</f>
        <v>0</v>
      </c>
      <c r="CK157" s="425">
        <f ca="1">IF($BH157=0,IF($CO157="",CK156+T157,IF('283'!$K$251=1,IF(mname2&lt;&gt;"",VLOOKUP($CO157,PerStBal,3)+T157,0),IF('283'!$K$253=1,(VLOOKUP($CO157,PerPortion,3)*VLOOKUP($CO157,PerStBal,6))+T157,GL!BT157))),0)</f>
        <v>0</v>
      </c>
      <c r="CL157" s="425">
        <f ca="1">IF($BH157=0,IF($CO157="",CL156+V157,IF('283'!$K$251=1,IF(mname3&lt;&gt;"",VLOOKUP($CO157,PerStBal,4)+V157,0),IF('283'!$K$253=1,(VLOOKUP($CO157,PerPortion,4)*VLOOKUP($CO157,PerStBal,6))+V157,GL!BU157))),0)</f>
        <v>0</v>
      </c>
      <c r="CM157" s="425">
        <f ca="1">IF($BH157=0,IF($CO157="",CM156+X157,IF('283'!$K$251=1,IF(mname4&lt;&gt;"",VLOOKUP($CO157,PerStBal,5)+X157,0),IF('283'!$K$253=1,(VLOOKUP($CO157,PerPortion,5)*VLOOKUP($CO157,PerStBal,6))+X157,GL!BV157))),0)</f>
        <v>0</v>
      </c>
      <c r="CN157" s="50">
        <f t="shared" ca="1" si="220"/>
        <v>0</v>
      </c>
      <c r="CO157" s="4" t="str">
        <f t="shared" ca="1" si="221"/>
        <v/>
      </c>
      <c r="CP157" s="377">
        <f t="shared" si="182"/>
        <v>0</v>
      </c>
      <c r="DI157" s="4">
        <f t="shared" si="222"/>
        <v>45261</v>
      </c>
      <c r="DJ157" s="112">
        <f t="shared" ca="1" si="223"/>
        <v>0</v>
      </c>
      <c r="DK157" s="112">
        <f t="shared" si="224"/>
        <v>0</v>
      </c>
      <c r="DL157" s="4">
        <f t="shared" si="225"/>
        <v>45261</v>
      </c>
      <c r="DM157" s="112">
        <f t="shared" ca="1" si="226"/>
        <v>0</v>
      </c>
      <c r="DN157" s="112">
        <f t="shared" si="227"/>
        <v>0</v>
      </c>
      <c r="DO157" s="4">
        <f t="shared" si="228"/>
        <v>45261</v>
      </c>
      <c r="DP157" s="112">
        <f t="shared" ca="1" si="229"/>
        <v>0</v>
      </c>
      <c r="DQ157" s="112">
        <f t="shared" si="230"/>
        <v>0</v>
      </c>
      <c r="DR157" s="4">
        <f t="shared" si="231"/>
        <v>45261</v>
      </c>
      <c r="DS157" s="112">
        <f t="shared" ca="1" si="232"/>
        <v>0</v>
      </c>
      <c r="DT157" s="112">
        <f t="shared" si="233"/>
        <v>0</v>
      </c>
      <c r="DU157" s="4">
        <f t="shared" si="234"/>
        <v>45261</v>
      </c>
      <c r="DV157" s="112">
        <f t="shared" si="235"/>
        <v>0</v>
      </c>
      <c r="DW157" s="112">
        <f t="shared" si="236"/>
        <v>0</v>
      </c>
    </row>
    <row r="158" spans="2:127" x14ac:dyDescent="0.25">
      <c r="B158" s="74">
        <f t="shared" si="245"/>
        <v>183</v>
      </c>
      <c r="C158" s="84">
        <f t="shared" si="246"/>
        <v>0</v>
      </c>
      <c r="D158" s="84">
        <f t="shared" si="246"/>
        <v>0</v>
      </c>
      <c r="E158" s="84">
        <f t="shared" si="246"/>
        <v>0</v>
      </c>
      <c r="F158" s="84">
        <f t="shared" si="246"/>
        <v>0</v>
      </c>
      <c r="H158" s="75">
        <f t="shared" si="239"/>
        <v>183</v>
      </c>
      <c r="I158" s="77">
        <f t="shared" si="240"/>
        <v>0</v>
      </c>
      <c r="J158" s="77">
        <f t="shared" si="241"/>
        <v>0</v>
      </c>
      <c r="K158" s="77">
        <f t="shared" si="242"/>
        <v>0</v>
      </c>
      <c r="L158" s="77">
        <f t="shared" si="243"/>
        <v>0</v>
      </c>
      <c r="M158" s="77">
        <f t="shared" si="244"/>
        <v>0</v>
      </c>
      <c r="Q158" s="4">
        <f t="shared" si="183"/>
        <v>45262</v>
      </c>
      <c r="R158" s="24">
        <f t="shared" si="184"/>
        <v>0</v>
      </c>
      <c r="S158" s="25">
        <f t="shared" si="185"/>
        <v>0</v>
      </c>
      <c r="T158" s="24">
        <f t="shared" si="186"/>
        <v>0</v>
      </c>
      <c r="U158" s="25">
        <f t="shared" si="187"/>
        <v>0</v>
      </c>
      <c r="V158" s="24">
        <f t="shared" si="188"/>
        <v>0</v>
      </c>
      <c r="W158" s="25">
        <f t="shared" si="189"/>
        <v>0</v>
      </c>
      <c r="X158" s="24">
        <f t="shared" si="190"/>
        <v>0</v>
      </c>
      <c r="Y158" s="26">
        <f t="shared" si="191"/>
        <v>0</v>
      </c>
      <c r="Z158" s="27">
        <f t="shared" si="192"/>
        <v>0</v>
      </c>
      <c r="AA158" s="28">
        <f t="shared" si="193"/>
        <v>45262</v>
      </c>
      <c r="AB158" s="24">
        <f t="shared" si="194"/>
        <v>0</v>
      </c>
      <c r="AC158" s="25">
        <f t="shared" si="195"/>
        <v>0</v>
      </c>
      <c r="AD158" s="28">
        <f t="shared" si="196"/>
        <v>45262</v>
      </c>
      <c r="AE158" s="24">
        <f t="shared" si="197"/>
        <v>0</v>
      </c>
      <c r="AF158" s="25">
        <f t="shared" si="198"/>
        <v>0</v>
      </c>
      <c r="AG158" s="28">
        <f t="shared" si="199"/>
        <v>45262</v>
      </c>
      <c r="AH158" s="24">
        <f t="shared" si="200"/>
        <v>0</v>
      </c>
      <c r="AI158" s="25">
        <f t="shared" si="201"/>
        <v>0</v>
      </c>
      <c r="AJ158" s="28">
        <f t="shared" si="202"/>
        <v>45262</v>
      </c>
      <c r="AK158" s="24">
        <f t="shared" si="203"/>
        <v>0</v>
      </c>
      <c r="AL158" s="25">
        <f t="shared" si="204"/>
        <v>0</v>
      </c>
      <c r="AM158" s="29">
        <f t="shared" si="205"/>
        <v>0</v>
      </c>
      <c r="AN158" s="28">
        <f t="shared" si="206"/>
        <v>45262</v>
      </c>
      <c r="AO158" s="373">
        <f t="shared" si="175"/>
        <v>0</v>
      </c>
      <c r="AP158" s="374">
        <f t="shared" si="176"/>
        <v>0</v>
      </c>
      <c r="AQ158" s="27">
        <f t="shared" si="177"/>
        <v>0</v>
      </c>
      <c r="AR158" s="25">
        <f t="shared" si="178"/>
        <v>0</v>
      </c>
      <c r="AS158" s="25">
        <f t="shared" si="179"/>
        <v>0</v>
      </c>
      <c r="AT158" s="25">
        <f t="shared" si="180"/>
        <v>0</v>
      </c>
      <c r="AU158" s="29">
        <f t="shared" si="238"/>
        <v>0</v>
      </c>
      <c r="AV158" s="27">
        <f t="shared" si="207"/>
        <v>0</v>
      </c>
      <c r="AW158" s="27">
        <f t="shared" si="208"/>
        <v>0</v>
      </c>
      <c r="AX158" s="27">
        <f t="shared" si="209"/>
        <v>0</v>
      </c>
      <c r="AY158" s="27">
        <f t="shared" si="210"/>
        <v>0</v>
      </c>
      <c r="BH158" s="2">
        <f t="shared" si="211"/>
        <v>0</v>
      </c>
      <c r="BI158" s="298" t="str">
        <f t="shared" si="212"/>
        <v/>
      </c>
      <c r="BJ158" s="298" t="str">
        <f t="shared" si="181"/>
        <v/>
      </c>
      <c r="BQ158" s="4">
        <f t="shared" si="213"/>
        <v>45262</v>
      </c>
      <c r="BR158" s="112">
        <f t="shared" si="214"/>
        <v>0</v>
      </c>
      <c r="BS158" s="112">
        <f t="shared" si="215"/>
        <v>0</v>
      </c>
      <c r="BT158" s="112">
        <f t="shared" si="216"/>
        <v>0</v>
      </c>
      <c r="BU158" s="112">
        <f t="shared" si="217"/>
        <v>0</v>
      </c>
      <c r="BV158" s="112">
        <f t="shared" si="218"/>
        <v>0</v>
      </c>
      <c r="CI158" s="4">
        <f t="shared" si="219"/>
        <v>45262</v>
      </c>
      <c r="CJ158" s="50">
        <f ca="1">IF($BH158=0,IF($CO158="",CJ157+R158,IF('283'!$K$251=1,VLOOKUP($CO158,PerStBal,2)+R158,IF('283'!$K$253=1,(VLOOKUP($CO158,PerPortion,2)*VLOOKUP($CO158,PerStBal,6))+R158,GL!BS158))),0)</f>
        <v>0</v>
      </c>
      <c r="CK158" s="425">
        <f ca="1">IF($BH158=0,IF($CO158="",CK157+T158,IF('283'!$K$251=1,IF(mname2&lt;&gt;"",VLOOKUP($CO158,PerStBal,3)+T158,0),IF('283'!$K$253=1,(VLOOKUP($CO158,PerPortion,3)*VLOOKUP($CO158,PerStBal,6))+T158,GL!BT158))),0)</f>
        <v>0</v>
      </c>
      <c r="CL158" s="425">
        <f ca="1">IF($BH158=0,IF($CO158="",CL157+V158,IF('283'!$K$251=1,IF(mname3&lt;&gt;"",VLOOKUP($CO158,PerStBal,4)+V158,0),IF('283'!$K$253=1,(VLOOKUP($CO158,PerPortion,4)*VLOOKUP($CO158,PerStBal,6))+V158,GL!BU158))),0)</f>
        <v>0</v>
      </c>
      <c r="CM158" s="425">
        <f ca="1">IF($BH158=0,IF($CO158="",CM157+X158,IF('283'!$K$251=1,IF(mname4&lt;&gt;"",VLOOKUP($CO158,PerStBal,5)+X158,0),IF('283'!$K$253=1,(VLOOKUP($CO158,PerPortion,5)*VLOOKUP($CO158,PerStBal,6))+X158,GL!BV158))),0)</f>
        <v>0</v>
      </c>
      <c r="CN158" s="50">
        <f t="shared" ca="1" si="220"/>
        <v>0</v>
      </c>
      <c r="CO158" s="4" t="str">
        <f t="shared" ca="1" si="221"/>
        <v/>
      </c>
      <c r="CP158" s="377">
        <f t="shared" si="182"/>
        <v>0</v>
      </c>
      <c r="DI158" s="4">
        <f t="shared" si="222"/>
        <v>45262</v>
      </c>
      <c r="DJ158" s="112">
        <f t="shared" ca="1" si="223"/>
        <v>0</v>
      </c>
      <c r="DK158" s="112">
        <f t="shared" si="224"/>
        <v>0</v>
      </c>
      <c r="DL158" s="4">
        <f t="shared" si="225"/>
        <v>45262</v>
      </c>
      <c r="DM158" s="112">
        <f t="shared" ca="1" si="226"/>
        <v>0</v>
      </c>
      <c r="DN158" s="112">
        <f t="shared" si="227"/>
        <v>0</v>
      </c>
      <c r="DO158" s="4">
        <f t="shared" si="228"/>
        <v>45262</v>
      </c>
      <c r="DP158" s="112">
        <f t="shared" ca="1" si="229"/>
        <v>0</v>
      </c>
      <c r="DQ158" s="112">
        <f t="shared" si="230"/>
        <v>0</v>
      </c>
      <c r="DR158" s="4">
        <f t="shared" si="231"/>
        <v>45262</v>
      </c>
      <c r="DS158" s="112">
        <f t="shared" ca="1" si="232"/>
        <v>0</v>
      </c>
      <c r="DT158" s="112">
        <f t="shared" si="233"/>
        <v>0</v>
      </c>
      <c r="DU158" s="4">
        <f t="shared" si="234"/>
        <v>45262</v>
      </c>
      <c r="DV158" s="112">
        <f t="shared" si="235"/>
        <v>0</v>
      </c>
      <c r="DW158" s="112">
        <f t="shared" si="236"/>
        <v>0</v>
      </c>
    </row>
    <row r="159" spans="2:127" x14ac:dyDescent="0.25">
      <c r="B159" s="74">
        <f t="shared" si="245"/>
        <v>183</v>
      </c>
      <c r="C159" s="84">
        <f t="shared" si="246"/>
        <v>0</v>
      </c>
      <c r="D159" s="84">
        <f t="shared" si="246"/>
        <v>0</v>
      </c>
      <c r="E159" s="84">
        <f t="shared" si="246"/>
        <v>0</v>
      </c>
      <c r="F159" s="84">
        <f t="shared" si="246"/>
        <v>0</v>
      </c>
      <c r="H159" s="75">
        <f t="shared" si="239"/>
        <v>183</v>
      </c>
      <c r="I159" s="77">
        <f t="shared" si="240"/>
        <v>0</v>
      </c>
      <c r="J159" s="77">
        <f t="shared" si="241"/>
        <v>0</v>
      </c>
      <c r="K159" s="77">
        <f t="shared" si="242"/>
        <v>0</v>
      </c>
      <c r="L159" s="77">
        <f t="shared" si="243"/>
        <v>0</v>
      </c>
      <c r="M159" s="77">
        <f t="shared" si="244"/>
        <v>0</v>
      </c>
      <c r="Q159" s="4">
        <f t="shared" si="183"/>
        <v>45263</v>
      </c>
      <c r="R159" s="24">
        <f t="shared" si="184"/>
        <v>0</v>
      </c>
      <c r="S159" s="25">
        <f t="shared" si="185"/>
        <v>0</v>
      </c>
      <c r="T159" s="24">
        <f t="shared" si="186"/>
        <v>0</v>
      </c>
      <c r="U159" s="25">
        <f t="shared" si="187"/>
        <v>0</v>
      </c>
      <c r="V159" s="24">
        <f t="shared" si="188"/>
        <v>0</v>
      </c>
      <c r="W159" s="25">
        <f t="shared" si="189"/>
        <v>0</v>
      </c>
      <c r="X159" s="24">
        <f t="shared" si="190"/>
        <v>0</v>
      </c>
      <c r="Y159" s="26">
        <f t="shared" si="191"/>
        <v>0</v>
      </c>
      <c r="Z159" s="27">
        <f t="shared" si="192"/>
        <v>0</v>
      </c>
      <c r="AA159" s="28">
        <f t="shared" si="193"/>
        <v>45263</v>
      </c>
      <c r="AB159" s="24">
        <f t="shared" si="194"/>
        <v>0</v>
      </c>
      <c r="AC159" s="25">
        <f t="shared" si="195"/>
        <v>0</v>
      </c>
      <c r="AD159" s="28">
        <f t="shared" si="196"/>
        <v>45263</v>
      </c>
      <c r="AE159" s="24">
        <f t="shared" si="197"/>
        <v>0</v>
      </c>
      <c r="AF159" s="25">
        <f t="shared" si="198"/>
        <v>0</v>
      </c>
      <c r="AG159" s="28">
        <f t="shared" si="199"/>
        <v>45263</v>
      </c>
      <c r="AH159" s="24">
        <f t="shared" si="200"/>
        <v>0</v>
      </c>
      <c r="AI159" s="25">
        <f t="shared" si="201"/>
        <v>0</v>
      </c>
      <c r="AJ159" s="28">
        <f t="shared" si="202"/>
        <v>45263</v>
      </c>
      <c r="AK159" s="24">
        <f t="shared" si="203"/>
        <v>0</v>
      </c>
      <c r="AL159" s="25">
        <f t="shared" si="204"/>
        <v>0</v>
      </c>
      <c r="AM159" s="29">
        <f t="shared" si="205"/>
        <v>0</v>
      </c>
      <c r="AN159" s="28">
        <f t="shared" si="206"/>
        <v>45263</v>
      </c>
      <c r="AO159" s="373">
        <f t="shared" si="175"/>
        <v>0</v>
      </c>
      <c r="AP159" s="374">
        <f t="shared" si="176"/>
        <v>0</v>
      </c>
      <c r="AQ159" s="27">
        <f t="shared" si="177"/>
        <v>0</v>
      </c>
      <c r="AR159" s="25">
        <f t="shared" si="178"/>
        <v>0</v>
      </c>
      <c r="AS159" s="25">
        <f t="shared" si="179"/>
        <v>0</v>
      </c>
      <c r="AT159" s="25">
        <f t="shared" si="180"/>
        <v>0</v>
      </c>
      <c r="AU159" s="29">
        <f t="shared" si="238"/>
        <v>0</v>
      </c>
      <c r="AV159" s="27">
        <f t="shared" si="207"/>
        <v>0</v>
      </c>
      <c r="AW159" s="27">
        <f t="shared" si="208"/>
        <v>0</v>
      </c>
      <c r="AX159" s="27">
        <f t="shared" si="209"/>
        <v>0</v>
      </c>
      <c r="AY159" s="27">
        <f t="shared" si="210"/>
        <v>0</v>
      </c>
      <c r="BH159" s="2">
        <f t="shared" si="211"/>
        <v>0</v>
      </c>
      <c r="BI159" s="298" t="str">
        <f t="shared" si="212"/>
        <v/>
      </c>
      <c r="BJ159" s="298" t="str">
        <f t="shared" si="181"/>
        <v/>
      </c>
      <c r="BQ159" s="4">
        <f t="shared" si="213"/>
        <v>45263</v>
      </c>
      <c r="BR159" s="112">
        <f t="shared" si="214"/>
        <v>0</v>
      </c>
      <c r="BS159" s="112">
        <f t="shared" si="215"/>
        <v>0</v>
      </c>
      <c r="BT159" s="112">
        <f t="shared" si="216"/>
        <v>0</v>
      </c>
      <c r="BU159" s="112">
        <f t="shared" si="217"/>
        <v>0</v>
      </c>
      <c r="BV159" s="112">
        <f t="shared" si="218"/>
        <v>0</v>
      </c>
      <c r="CI159" s="4">
        <f t="shared" si="219"/>
        <v>45263</v>
      </c>
      <c r="CJ159" s="50">
        <f ca="1">IF($BH159=0,IF($CO159="",CJ158+R159,IF('283'!$K$251=1,VLOOKUP($CO159,PerStBal,2)+R159,IF('283'!$K$253=1,(VLOOKUP($CO159,PerPortion,2)*VLOOKUP($CO159,PerStBal,6))+R159,GL!BS159))),0)</f>
        <v>0</v>
      </c>
      <c r="CK159" s="425">
        <f ca="1">IF($BH159=0,IF($CO159="",CK158+T159,IF('283'!$K$251=1,IF(mname2&lt;&gt;"",VLOOKUP($CO159,PerStBal,3)+T159,0),IF('283'!$K$253=1,(VLOOKUP($CO159,PerPortion,3)*VLOOKUP($CO159,PerStBal,6))+T159,GL!BT159))),0)</f>
        <v>0</v>
      </c>
      <c r="CL159" s="425">
        <f ca="1">IF($BH159=0,IF($CO159="",CL158+V159,IF('283'!$K$251=1,IF(mname3&lt;&gt;"",VLOOKUP($CO159,PerStBal,4)+V159,0),IF('283'!$K$253=1,(VLOOKUP($CO159,PerPortion,4)*VLOOKUP($CO159,PerStBal,6))+V159,GL!BU159))),0)</f>
        <v>0</v>
      </c>
      <c r="CM159" s="425">
        <f ca="1">IF($BH159=0,IF($CO159="",CM158+X159,IF('283'!$K$251=1,IF(mname4&lt;&gt;"",VLOOKUP($CO159,PerStBal,5)+X159,0),IF('283'!$K$253=1,(VLOOKUP($CO159,PerPortion,5)*VLOOKUP($CO159,PerStBal,6))+X159,GL!BV159))),0)</f>
        <v>0</v>
      </c>
      <c r="CN159" s="50">
        <f t="shared" ca="1" si="220"/>
        <v>0</v>
      </c>
      <c r="CO159" s="4" t="str">
        <f t="shared" ca="1" si="221"/>
        <v/>
      </c>
      <c r="CP159" s="377">
        <f t="shared" si="182"/>
        <v>0</v>
      </c>
      <c r="DI159" s="4">
        <f t="shared" si="222"/>
        <v>45263</v>
      </c>
      <c r="DJ159" s="112">
        <f t="shared" ca="1" si="223"/>
        <v>0</v>
      </c>
      <c r="DK159" s="112">
        <f t="shared" si="224"/>
        <v>0</v>
      </c>
      <c r="DL159" s="4">
        <f t="shared" si="225"/>
        <v>45263</v>
      </c>
      <c r="DM159" s="112">
        <f t="shared" ca="1" si="226"/>
        <v>0</v>
      </c>
      <c r="DN159" s="112">
        <f t="shared" si="227"/>
        <v>0</v>
      </c>
      <c r="DO159" s="4">
        <f t="shared" si="228"/>
        <v>45263</v>
      </c>
      <c r="DP159" s="112">
        <f t="shared" ca="1" si="229"/>
        <v>0</v>
      </c>
      <c r="DQ159" s="112">
        <f t="shared" si="230"/>
        <v>0</v>
      </c>
      <c r="DR159" s="4">
        <f t="shared" si="231"/>
        <v>45263</v>
      </c>
      <c r="DS159" s="112">
        <f t="shared" ca="1" si="232"/>
        <v>0</v>
      </c>
      <c r="DT159" s="112">
        <f t="shared" si="233"/>
        <v>0</v>
      </c>
      <c r="DU159" s="4">
        <f t="shared" si="234"/>
        <v>45263</v>
      </c>
      <c r="DV159" s="112">
        <f t="shared" si="235"/>
        <v>0</v>
      </c>
      <c r="DW159" s="112">
        <f t="shared" si="236"/>
        <v>0</v>
      </c>
    </row>
    <row r="160" spans="2:127" x14ac:dyDescent="0.25">
      <c r="B160" s="74">
        <f t="shared" si="245"/>
        <v>183</v>
      </c>
      <c r="C160" s="84">
        <f t="shared" si="246"/>
        <v>0</v>
      </c>
      <c r="D160" s="84">
        <f t="shared" si="246"/>
        <v>0</v>
      </c>
      <c r="E160" s="84">
        <f t="shared" si="246"/>
        <v>0</v>
      </c>
      <c r="F160" s="84">
        <f t="shared" si="246"/>
        <v>0</v>
      </c>
      <c r="H160" s="75">
        <f t="shared" si="239"/>
        <v>183</v>
      </c>
      <c r="I160" s="77">
        <f t="shared" si="240"/>
        <v>0</v>
      </c>
      <c r="J160" s="77">
        <f t="shared" si="241"/>
        <v>0</v>
      </c>
      <c r="K160" s="77">
        <f t="shared" si="242"/>
        <v>0</v>
      </c>
      <c r="L160" s="77">
        <f t="shared" si="243"/>
        <v>0</v>
      </c>
      <c r="M160" s="77">
        <f t="shared" si="244"/>
        <v>0</v>
      </c>
      <c r="Q160" s="4">
        <f t="shared" si="183"/>
        <v>45264</v>
      </c>
      <c r="R160" s="24">
        <f t="shared" si="184"/>
        <v>0</v>
      </c>
      <c r="S160" s="25">
        <f t="shared" si="185"/>
        <v>0</v>
      </c>
      <c r="T160" s="24">
        <f t="shared" si="186"/>
        <v>0</v>
      </c>
      <c r="U160" s="25">
        <f t="shared" si="187"/>
        <v>0</v>
      </c>
      <c r="V160" s="24">
        <f t="shared" si="188"/>
        <v>0</v>
      </c>
      <c r="W160" s="25">
        <f t="shared" si="189"/>
        <v>0</v>
      </c>
      <c r="X160" s="24">
        <f t="shared" si="190"/>
        <v>0</v>
      </c>
      <c r="Y160" s="26">
        <f t="shared" si="191"/>
        <v>0</v>
      </c>
      <c r="Z160" s="27">
        <f t="shared" si="192"/>
        <v>0</v>
      </c>
      <c r="AA160" s="28">
        <f t="shared" si="193"/>
        <v>45264</v>
      </c>
      <c r="AB160" s="24">
        <f t="shared" si="194"/>
        <v>0</v>
      </c>
      <c r="AC160" s="25">
        <f t="shared" si="195"/>
        <v>0</v>
      </c>
      <c r="AD160" s="28">
        <f t="shared" si="196"/>
        <v>45264</v>
      </c>
      <c r="AE160" s="24">
        <f t="shared" si="197"/>
        <v>0</v>
      </c>
      <c r="AF160" s="25">
        <f t="shared" si="198"/>
        <v>0</v>
      </c>
      <c r="AG160" s="28">
        <f t="shared" si="199"/>
        <v>45264</v>
      </c>
      <c r="AH160" s="24">
        <f t="shared" si="200"/>
        <v>0</v>
      </c>
      <c r="AI160" s="25">
        <f t="shared" si="201"/>
        <v>0</v>
      </c>
      <c r="AJ160" s="28">
        <f t="shared" si="202"/>
        <v>45264</v>
      </c>
      <c r="AK160" s="24">
        <f t="shared" si="203"/>
        <v>0</v>
      </c>
      <c r="AL160" s="25">
        <f t="shared" si="204"/>
        <v>0</v>
      </c>
      <c r="AM160" s="29">
        <f t="shared" si="205"/>
        <v>0</v>
      </c>
      <c r="AN160" s="28">
        <f t="shared" si="206"/>
        <v>45264</v>
      </c>
      <c r="AO160" s="373">
        <f t="shared" si="175"/>
        <v>0</v>
      </c>
      <c r="AP160" s="374">
        <f t="shared" si="176"/>
        <v>0</v>
      </c>
      <c r="AQ160" s="27">
        <f t="shared" si="177"/>
        <v>0</v>
      </c>
      <c r="AR160" s="25">
        <f t="shared" si="178"/>
        <v>0</v>
      </c>
      <c r="AS160" s="25">
        <f t="shared" si="179"/>
        <v>0</v>
      </c>
      <c r="AT160" s="25">
        <f t="shared" si="180"/>
        <v>0</v>
      </c>
      <c r="AU160" s="29">
        <f t="shared" si="238"/>
        <v>0</v>
      </c>
      <c r="AV160" s="27">
        <f t="shared" si="207"/>
        <v>0</v>
      </c>
      <c r="AW160" s="27">
        <f t="shared" si="208"/>
        <v>0</v>
      </c>
      <c r="AX160" s="27">
        <f t="shared" si="209"/>
        <v>0</v>
      </c>
      <c r="AY160" s="27">
        <f t="shared" si="210"/>
        <v>0</v>
      </c>
      <c r="BH160" s="2">
        <f t="shared" si="211"/>
        <v>0</v>
      </c>
      <c r="BI160" s="298" t="str">
        <f t="shared" si="212"/>
        <v/>
      </c>
      <c r="BJ160" s="298" t="str">
        <f t="shared" si="181"/>
        <v/>
      </c>
      <c r="BQ160" s="4">
        <f t="shared" si="213"/>
        <v>45264</v>
      </c>
      <c r="BR160" s="112">
        <f t="shared" si="214"/>
        <v>0</v>
      </c>
      <c r="BS160" s="112">
        <f t="shared" si="215"/>
        <v>0</v>
      </c>
      <c r="BT160" s="112">
        <f t="shared" si="216"/>
        <v>0</v>
      </c>
      <c r="BU160" s="112">
        <f t="shared" si="217"/>
        <v>0</v>
      </c>
      <c r="BV160" s="112">
        <f t="shared" si="218"/>
        <v>0</v>
      </c>
      <c r="CI160" s="4">
        <f t="shared" si="219"/>
        <v>45264</v>
      </c>
      <c r="CJ160" s="50">
        <f ca="1">IF($BH160=0,IF($CO160="",CJ159+R160,IF('283'!$K$251=1,VLOOKUP($CO160,PerStBal,2)+R160,IF('283'!$K$253=1,(VLOOKUP($CO160,PerPortion,2)*VLOOKUP($CO160,PerStBal,6))+R160,GL!BS160))),0)</f>
        <v>0</v>
      </c>
      <c r="CK160" s="425">
        <f ca="1">IF($BH160=0,IF($CO160="",CK159+T160,IF('283'!$K$251=1,IF(mname2&lt;&gt;"",VLOOKUP($CO160,PerStBal,3)+T160,0),IF('283'!$K$253=1,(VLOOKUP($CO160,PerPortion,3)*VLOOKUP($CO160,PerStBal,6))+T160,GL!BT160))),0)</f>
        <v>0</v>
      </c>
      <c r="CL160" s="425">
        <f ca="1">IF($BH160=0,IF($CO160="",CL159+V160,IF('283'!$K$251=1,IF(mname3&lt;&gt;"",VLOOKUP($CO160,PerStBal,4)+V160,0),IF('283'!$K$253=1,(VLOOKUP($CO160,PerPortion,4)*VLOOKUP($CO160,PerStBal,6))+V160,GL!BU160))),0)</f>
        <v>0</v>
      </c>
      <c r="CM160" s="425">
        <f ca="1">IF($BH160=0,IF($CO160="",CM159+X160,IF('283'!$K$251=1,IF(mname4&lt;&gt;"",VLOOKUP($CO160,PerStBal,5)+X160,0),IF('283'!$K$253=1,(VLOOKUP($CO160,PerPortion,5)*VLOOKUP($CO160,PerStBal,6))+X160,GL!BV160))),0)</f>
        <v>0</v>
      </c>
      <c r="CN160" s="50">
        <f t="shared" ca="1" si="220"/>
        <v>0</v>
      </c>
      <c r="CO160" s="4" t="str">
        <f t="shared" ca="1" si="221"/>
        <v/>
      </c>
      <c r="CP160" s="377">
        <f t="shared" si="182"/>
        <v>0</v>
      </c>
      <c r="DI160" s="4">
        <f t="shared" si="222"/>
        <v>45264</v>
      </c>
      <c r="DJ160" s="112">
        <f t="shared" ca="1" si="223"/>
        <v>0</v>
      </c>
      <c r="DK160" s="112">
        <f t="shared" si="224"/>
        <v>0</v>
      </c>
      <c r="DL160" s="4">
        <f t="shared" si="225"/>
        <v>45264</v>
      </c>
      <c r="DM160" s="112">
        <f t="shared" ca="1" si="226"/>
        <v>0</v>
      </c>
      <c r="DN160" s="112">
        <f t="shared" si="227"/>
        <v>0</v>
      </c>
      <c r="DO160" s="4">
        <f t="shared" si="228"/>
        <v>45264</v>
      </c>
      <c r="DP160" s="112">
        <f t="shared" ca="1" si="229"/>
        <v>0</v>
      </c>
      <c r="DQ160" s="112">
        <f t="shared" si="230"/>
        <v>0</v>
      </c>
      <c r="DR160" s="4">
        <f t="shared" si="231"/>
        <v>45264</v>
      </c>
      <c r="DS160" s="112">
        <f t="shared" ca="1" si="232"/>
        <v>0</v>
      </c>
      <c r="DT160" s="112">
        <f t="shared" si="233"/>
        <v>0</v>
      </c>
      <c r="DU160" s="4">
        <f t="shared" si="234"/>
        <v>45264</v>
      </c>
      <c r="DV160" s="112">
        <f t="shared" si="235"/>
        <v>0</v>
      </c>
      <c r="DW160" s="112">
        <f t="shared" si="236"/>
        <v>0</v>
      </c>
    </row>
    <row r="161" spans="2:127" x14ac:dyDescent="0.25">
      <c r="B161" s="74">
        <f t="shared" si="245"/>
        <v>183</v>
      </c>
      <c r="C161" s="84">
        <f t="shared" si="246"/>
        <v>0</v>
      </c>
      <c r="D161" s="84">
        <f t="shared" si="246"/>
        <v>0</v>
      </c>
      <c r="E161" s="84">
        <f t="shared" si="246"/>
        <v>0</v>
      </c>
      <c r="F161" s="84">
        <f t="shared" si="246"/>
        <v>0</v>
      </c>
      <c r="H161" s="75">
        <f t="shared" si="239"/>
        <v>183</v>
      </c>
      <c r="I161" s="77">
        <f t="shared" si="240"/>
        <v>0</v>
      </c>
      <c r="J161" s="77">
        <f t="shared" si="241"/>
        <v>0</v>
      </c>
      <c r="K161" s="77">
        <f t="shared" si="242"/>
        <v>0</v>
      </c>
      <c r="L161" s="77">
        <f t="shared" si="243"/>
        <v>0</v>
      </c>
      <c r="M161" s="77">
        <f t="shared" si="244"/>
        <v>0</v>
      </c>
      <c r="Q161" s="4">
        <f t="shared" si="183"/>
        <v>45265</v>
      </c>
      <c r="R161" s="24">
        <f t="shared" si="184"/>
        <v>0</v>
      </c>
      <c r="S161" s="25">
        <f t="shared" si="185"/>
        <v>0</v>
      </c>
      <c r="T161" s="24">
        <f t="shared" si="186"/>
        <v>0</v>
      </c>
      <c r="U161" s="25">
        <f t="shared" si="187"/>
        <v>0</v>
      </c>
      <c r="V161" s="24">
        <f t="shared" si="188"/>
        <v>0</v>
      </c>
      <c r="W161" s="25">
        <f t="shared" si="189"/>
        <v>0</v>
      </c>
      <c r="X161" s="24">
        <f t="shared" si="190"/>
        <v>0</v>
      </c>
      <c r="Y161" s="26">
        <f t="shared" si="191"/>
        <v>0</v>
      </c>
      <c r="Z161" s="27">
        <f t="shared" si="192"/>
        <v>0</v>
      </c>
      <c r="AA161" s="28">
        <f t="shared" si="193"/>
        <v>45265</v>
      </c>
      <c r="AB161" s="24">
        <f t="shared" si="194"/>
        <v>0</v>
      </c>
      <c r="AC161" s="25">
        <f t="shared" si="195"/>
        <v>0</v>
      </c>
      <c r="AD161" s="28">
        <f t="shared" si="196"/>
        <v>45265</v>
      </c>
      <c r="AE161" s="24">
        <f t="shared" si="197"/>
        <v>0</v>
      </c>
      <c r="AF161" s="25">
        <f t="shared" si="198"/>
        <v>0</v>
      </c>
      <c r="AG161" s="28">
        <f t="shared" si="199"/>
        <v>45265</v>
      </c>
      <c r="AH161" s="24">
        <f t="shared" si="200"/>
        <v>0</v>
      </c>
      <c r="AI161" s="25">
        <f t="shared" si="201"/>
        <v>0</v>
      </c>
      <c r="AJ161" s="28">
        <f t="shared" si="202"/>
        <v>45265</v>
      </c>
      <c r="AK161" s="24">
        <f t="shared" si="203"/>
        <v>0</v>
      </c>
      <c r="AL161" s="25">
        <f t="shared" si="204"/>
        <v>0</v>
      </c>
      <c r="AM161" s="29">
        <f t="shared" si="205"/>
        <v>0</v>
      </c>
      <c r="AN161" s="28">
        <f t="shared" si="206"/>
        <v>45265</v>
      </c>
      <c r="AO161" s="373">
        <f t="shared" si="175"/>
        <v>0</v>
      </c>
      <c r="AP161" s="374">
        <f t="shared" si="176"/>
        <v>0</v>
      </c>
      <c r="AQ161" s="27">
        <f t="shared" si="177"/>
        <v>0</v>
      </c>
      <c r="AR161" s="25">
        <f t="shared" si="178"/>
        <v>0</v>
      </c>
      <c r="AS161" s="25">
        <f t="shared" si="179"/>
        <v>0</v>
      </c>
      <c r="AT161" s="25">
        <f t="shared" si="180"/>
        <v>0</v>
      </c>
      <c r="AU161" s="29">
        <f t="shared" si="238"/>
        <v>0</v>
      </c>
      <c r="AV161" s="27">
        <f t="shared" si="207"/>
        <v>0</v>
      </c>
      <c r="AW161" s="27">
        <f t="shared" si="208"/>
        <v>0</v>
      </c>
      <c r="AX161" s="27">
        <f t="shared" si="209"/>
        <v>0</v>
      </c>
      <c r="AY161" s="27">
        <f t="shared" si="210"/>
        <v>0</v>
      </c>
      <c r="BH161" s="2">
        <f t="shared" si="211"/>
        <v>0</v>
      </c>
      <c r="BI161" s="298" t="str">
        <f t="shared" si="212"/>
        <v/>
      </c>
      <c r="BJ161" s="298" t="str">
        <f t="shared" si="181"/>
        <v/>
      </c>
      <c r="BQ161" s="4">
        <f t="shared" si="213"/>
        <v>45265</v>
      </c>
      <c r="BR161" s="112">
        <f t="shared" si="214"/>
        <v>0</v>
      </c>
      <c r="BS161" s="112">
        <f t="shared" si="215"/>
        <v>0</v>
      </c>
      <c r="BT161" s="112">
        <f t="shared" si="216"/>
        <v>0</v>
      </c>
      <c r="BU161" s="112">
        <f t="shared" si="217"/>
        <v>0</v>
      </c>
      <c r="BV161" s="112">
        <f t="shared" si="218"/>
        <v>0</v>
      </c>
      <c r="CI161" s="4">
        <f t="shared" si="219"/>
        <v>45265</v>
      </c>
      <c r="CJ161" s="50">
        <f ca="1">IF($BH161=0,IF($CO161="",CJ160+R161,IF('283'!$K$251=1,VLOOKUP($CO161,PerStBal,2)+R161,IF('283'!$K$253=1,(VLOOKUP($CO161,PerPortion,2)*VLOOKUP($CO161,PerStBal,6))+R161,GL!BS161))),0)</f>
        <v>0</v>
      </c>
      <c r="CK161" s="425">
        <f ca="1">IF($BH161=0,IF($CO161="",CK160+T161,IF('283'!$K$251=1,IF(mname2&lt;&gt;"",VLOOKUP($CO161,PerStBal,3)+T161,0),IF('283'!$K$253=1,(VLOOKUP($CO161,PerPortion,3)*VLOOKUP($CO161,PerStBal,6))+T161,GL!BT161))),0)</f>
        <v>0</v>
      </c>
      <c r="CL161" s="425">
        <f ca="1">IF($BH161=0,IF($CO161="",CL160+V161,IF('283'!$K$251=1,IF(mname3&lt;&gt;"",VLOOKUP($CO161,PerStBal,4)+V161,0),IF('283'!$K$253=1,(VLOOKUP($CO161,PerPortion,4)*VLOOKUP($CO161,PerStBal,6))+V161,GL!BU161))),0)</f>
        <v>0</v>
      </c>
      <c r="CM161" s="425">
        <f ca="1">IF($BH161=0,IF($CO161="",CM160+X161,IF('283'!$K$251=1,IF(mname4&lt;&gt;"",VLOOKUP($CO161,PerStBal,5)+X161,0),IF('283'!$K$253=1,(VLOOKUP($CO161,PerPortion,5)*VLOOKUP($CO161,PerStBal,6))+X161,GL!BV161))),0)</f>
        <v>0</v>
      </c>
      <c r="CN161" s="50">
        <f t="shared" ca="1" si="220"/>
        <v>0</v>
      </c>
      <c r="CO161" s="4" t="str">
        <f t="shared" ca="1" si="221"/>
        <v/>
      </c>
      <c r="CP161" s="377">
        <f t="shared" si="182"/>
        <v>0</v>
      </c>
      <c r="DI161" s="4">
        <f t="shared" si="222"/>
        <v>45265</v>
      </c>
      <c r="DJ161" s="112">
        <f t="shared" ca="1" si="223"/>
        <v>0</v>
      </c>
      <c r="DK161" s="112">
        <f t="shared" si="224"/>
        <v>0</v>
      </c>
      <c r="DL161" s="4">
        <f t="shared" si="225"/>
        <v>45265</v>
      </c>
      <c r="DM161" s="112">
        <f t="shared" ca="1" si="226"/>
        <v>0</v>
      </c>
      <c r="DN161" s="112">
        <f t="shared" si="227"/>
        <v>0</v>
      </c>
      <c r="DO161" s="4">
        <f t="shared" si="228"/>
        <v>45265</v>
      </c>
      <c r="DP161" s="112">
        <f t="shared" ca="1" si="229"/>
        <v>0</v>
      </c>
      <c r="DQ161" s="112">
        <f t="shared" si="230"/>
        <v>0</v>
      </c>
      <c r="DR161" s="4">
        <f t="shared" si="231"/>
        <v>45265</v>
      </c>
      <c r="DS161" s="112">
        <f t="shared" ca="1" si="232"/>
        <v>0</v>
      </c>
      <c r="DT161" s="112">
        <f t="shared" si="233"/>
        <v>0</v>
      </c>
      <c r="DU161" s="4">
        <f t="shared" si="234"/>
        <v>45265</v>
      </c>
      <c r="DV161" s="112">
        <f t="shared" si="235"/>
        <v>0</v>
      </c>
      <c r="DW161" s="112">
        <f t="shared" si="236"/>
        <v>0</v>
      </c>
    </row>
    <row r="162" spans="2:127" x14ac:dyDescent="0.25">
      <c r="B162" s="74">
        <f t="shared" si="245"/>
        <v>183</v>
      </c>
      <c r="C162" s="84">
        <f t="shared" si="246"/>
        <v>0</v>
      </c>
      <c r="D162" s="84">
        <f t="shared" si="246"/>
        <v>0</v>
      </c>
      <c r="E162" s="84">
        <f t="shared" si="246"/>
        <v>0</v>
      </c>
      <c r="F162" s="84">
        <f t="shared" si="246"/>
        <v>0</v>
      </c>
      <c r="H162" s="75">
        <f t="shared" si="239"/>
        <v>183</v>
      </c>
      <c r="I162" s="77">
        <f t="shared" si="240"/>
        <v>0</v>
      </c>
      <c r="J162" s="77">
        <f t="shared" si="241"/>
        <v>0</v>
      </c>
      <c r="K162" s="77">
        <f t="shared" si="242"/>
        <v>0</v>
      </c>
      <c r="L162" s="77">
        <f t="shared" si="243"/>
        <v>0</v>
      </c>
      <c r="M162" s="77">
        <f t="shared" si="244"/>
        <v>0</v>
      </c>
      <c r="Q162" s="4">
        <f t="shared" si="183"/>
        <v>45266</v>
      </c>
      <c r="R162" s="24">
        <f t="shared" si="184"/>
        <v>0</v>
      </c>
      <c r="S162" s="25">
        <f t="shared" si="185"/>
        <v>0</v>
      </c>
      <c r="T162" s="24">
        <f t="shared" si="186"/>
        <v>0</v>
      </c>
      <c r="U162" s="25">
        <f t="shared" si="187"/>
        <v>0</v>
      </c>
      <c r="V162" s="24">
        <f t="shared" si="188"/>
        <v>0</v>
      </c>
      <c r="W162" s="25">
        <f t="shared" si="189"/>
        <v>0</v>
      </c>
      <c r="X162" s="24">
        <f t="shared" si="190"/>
        <v>0</v>
      </c>
      <c r="Y162" s="26">
        <f t="shared" si="191"/>
        <v>0</v>
      </c>
      <c r="Z162" s="27">
        <f t="shared" si="192"/>
        <v>0</v>
      </c>
      <c r="AA162" s="28">
        <f t="shared" si="193"/>
        <v>45266</v>
      </c>
      <c r="AB162" s="24">
        <f t="shared" si="194"/>
        <v>0</v>
      </c>
      <c r="AC162" s="25">
        <f t="shared" si="195"/>
        <v>0</v>
      </c>
      <c r="AD162" s="28">
        <f t="shared" si="196"/>
        <v>45266</v>
      </c>
      <c r="AE162" s="24">
        <f t="shared" si="197"/>
        <v>0</v>
      </c>
      <c r="AF162" s="25">
        <f t="shared" si="198"/>
        <v>0</v>
      </c>
      <c r="AG162" s="28">
        <f t="shared" si="199"/>
        <v>45266</v>
      </c>
      <c r="AH162" s="24">
        <f t="shared" si="200"/>
        <v>0</v>
      </c>
      <c r="AI162" s="25">
        <f t="shared" si="201"/>
        <v>0</v>
      </c>
      <c r="AJ162" s="28">
        <f t="shared" si="202"/>
        <v>45266</v>
      </c>
      <c r="AK162" s="24">
        <f t="shared" si="203"/>
        <v>0</v>
      </c>
      <c r="AL162" s="25">
        <f t="shared" si="204"/>
        <v>0</v>
      </c>
      <c r="AM162" s="29">
        <f t="shared" si="205"/>
        <v>0</v>
      </c>
      <c r="AN162" s="28">
        <f t="shared" si="206"/>
        <v>45266</v>
      </c>
      <c r="AO162" s="373">
        <f t="shared" si="175"/>
        <v>0</v>
      </c>
      <c r="AP162" s="374">
        <f t="shared" si="176"/>
        <v>0</v>
      </c>
      <c r="AQ162" s="27">
        <f t="shared" si="177"/>
        <v>0</v>
      </c>
      <c r="AR162" s="25">
        <f t="shared" si="178"/>
        <v>0</v>
      </c>
      <c r="AS162" s="25">
        <f t="shared" si="179"/>
        <v>0</v>
      </c>
      <c r="AT162" s="25">
        <f t="shared" si="180"/>
        <v>0</v>
      </c>
      <c r="AU162" s="29">
        <f t="shared" si="238"/>
        <v>0</v>
      </c>
      <c r="AV162" s="27">
        <f t="shared" si="207"/>
        <v>0</v>
      </c>
      <c r="AW162" s="27">
        <f t="shared" si="208"/>
        <v>0</v>
      </c>
      <c r="AX162" s="27">
        <f t="shared" si="209"/>
        <v>0</v>
      </c>
      <c r="AY162" s="27">
        <f t="shared" si="210"/>
        <v>0</v>
      </c>
      <c r="BH162" s="2">
        <f t="shared" si="211"/>
        <v>0</v>
      </c>
      <c r="BI162" s="298" t="str">
        <f t="shared" si="212"/>
        <v/>
      </c>
      <c r="BJ162" s="298" t="str">
        <f t="shared" si="181"/>
        <v/>
      </c>
      <c r="BQ162" s="4">
        <f t="shared" si="213"/>
        <v>45266</v>
      </c>
      <c r="BR162" s="112">
        <f t="shared" si="214"/>
        <v>0</v>
      </c>
      <c r="BS162" s="112">
        <f t="shared" si="215"/>
        <v>0</v>
      </c>
      <c r="BT162" s="112">
        <f t="shared" si="216"/>
        <v>0</v>
      </c>
      <c r="BU162" s="112">
        <f t="shared" si="217"/>
        <v>0</v>
      </c>
      <c r="BV162" s="112">
        <f t="shared" si="218"/>
        <v>0</v>
      </c>
      <c r="CI162" s="4">
        <f t="shared" si="219"/>
        <v>45266</v>
      </c>
      <c r="CJ162" s="50">
        <f ca="1">IF($BH162=0,IF($CO162="",CJ161+R162,IF('283'!$K$251=1,VLOOKUP($CO162,PerStBal,2)+R162,IF('283'!$K$253=1,(VLOOKUP($CO162,PerPortion,2)*VLOOKUP($CO162,PerStBal,6))+R162,GL!BS162))),0)</f>
        <v>0</v>
      </c>
      <c r="CK162" s="425">
        <f ca="1">IF($BH162=0,IF($CO162="",CK161+T162,IF('283'!$K$251=1,IF(mname2&lt;&gt;"",VLOOKUP($CO162,PerStBal,3)+T162,0),IF('283'!$K$253=1,(VLOOKUP($CO162,PerPortion,3)*VLOOKUP($CO162,PerStBal,6))+T162,GL!BT162))),0)</f>
        <v>0</v>
      </c>
      <c r="CL162" s="425">
        <f ca="1">IF($BH162=0,IF($CO162="",CL161+V162,IF('283'!$K$251=1,IF(mname3&lt;&gt;"",VLOOKUP($CO162,PerStBal,4)+V162,0),IF('283'!$K$253=1,(VLOOKUP($CO162,PerPortion,4)*VLOOKUP($CO162,PerStBal,6))+V162,GL!BU162))),0)</f>
        <v>0</v>
      </c>
      <c r="CM162" s="425">
        <f ca="1">IF($BH162=0,IF($CO162="",CM161+X162,IF('283'!$K$251=1,IF(mname4&lt;&gt;"",VLOOKUP($CO162,PerStBal,5)+X162,0),IF('283'!$K$253=1,(VLOOKUP($CO162,PerPortion,5)*VLOOKUP($CO162,PerStBal,6))+X162,GL!BV162))),0)</f>
        <v>0</v>
      </c>
      <c r="CN162" s="50">
        <f t="shared" ca="1" si="220"/>
        <v>0</v>
      </c>
      <c r="CO162" s="4" t="str">
        <f t="shared" ca="1" si="221"/>
        <v/>
      </c>
      <c r="CP162" s="377">
        <f t="shared" si="182"/>
        <v>0</v>
      </c>
      <c r="DI162" s="4">
        <f t="shared" si="222"/>
        <v>45266</v>
      </c>
      <c r="DJ162" s="112">
        <f t="shared" ca="1" si="223"/>
        <v>0</v>
      </c>
      <c r="DK162" s="112">
        <f t="shared" si="224"/>
        <v>0</v>
      </c>
      <c r="DL162" s="4">
        <f t="shared" si="225"/>
        <v>45266</v>
      </c>
      <c r="DM162" s="112">
        <f t="shared" ca="1" si="226"/>
        <v>0</v>
      </c>
      <c r="DN162" s="112">
        <f t="shared" si="227"/>
        <v>0</v>
      </c>
      <c r="DO162" s="4">
        <f t="shared" si="228"/>
        <v>45266</v>
      </c>
      <c r="DP162" s="112">
        <f t="shared" ca="1" si="229"/>
        <v>0</v>
      </c>
      <c r="DQ162" s="112">
        <f t="shared" si="230"/>
        <v>0</v>
      </c>
      <c r="DR162" s="4">
        <f t="shared" si="231"/>
        <v>45266</v>
      </c>
      <c r="DS162" s="112">
        <f t="shared" ca="1" si="232"/>
        <v>0</v>
      </c>
      <c r="DT162" s="112">
        <f t="shared" si="233"/>
        <v>0</v>
      </c>
      <c r="DU162" s="4">
        <f t="shared" si="234"/>
        <v>45266</v>
      </c>
      <c r="DV162" s="112">
        <f t="shared" si="235"/>
        <v>0</v>
      </c>
      <c r="DW162" s="112">
        <f t="shared" si="236"/>
        <v>0</v>
      </c>
    </row>
    <row r="163" spans="2:127" x14ac:dyDescent="0.25">
      <c r="B163" s="74">
        <f t="shared" si="245"/>
        <v>183</v>
      </c>
      <c r="C163" s="84">
        <f t="shared" si="246"/>
        <v>0</v>
      </c>
      <c r="D163" s="84">
        <f t="shared" si="246"/>
        <v>0</v>
      </c>
      <c r="E163" s="84">
        <f t="shared" si="246"/>
        <v>0</v>
      </c>
      <c r="F163" s="84">
        <f t="shared" si="246"/>
        <v>0</v>
      </c>
      <c r="H163" s="75">
        <f t="shared" si="239"/>
        <v>183</v>
      </c>
      <c r="I163" s="77">
        <f t="shared" si="240"/>
        <v>0</v>
      </c>
      <c r="J163" s="77">
        <f t="shared" si="241"/>
        <v>0</v>
      </c>
      <c r="K163" s="77">
        <f t="shared" si="242"/>
        <v>0</v>
      </c>
      <c r="L163" s="77">
        <f t="shared" si="243"/>
        <v>0</v>
      </c>
      <c r="M163" s="77">
        <f t="shared" si="244"/>
        <v>0</v>
      </c>
      <c r="Q163" s="4">
        <f t="shared" si="183"/>
        <v>45267</v>
      </c>
      <c r="R163" s="24">
        <f t="shared" si="184"/>
        <v>0</v>
      </c>
      <c r="S163" s="25">
        <f t="shared" si="185"/>
        <v>0</v>
      </c>
      <c r="T163" s="24">
        <f t="shared" si="186"/>
        <v>0</v>
      </c>
      <c r="U163" s="25">
        <f t="shared" si="187"/>
        <v>0</v>
      </c>
      <c r="V163" s="24">
        <f t="shared" si="188"/>
        <v>0</v>
      </c>
      <c r="W163" s="25">
        <f t="shared" si="189"/>
        <v>0</v>
      </c>
      <c r="X163" s="24">
        <f t="shared" si="190"/>
        <v>0</v>
      </c>
      <c r="Y163" s="26">
        <f t="shared" si="191"/>
        <v>0</v>
      </c>
      <c r="Z163" s="27">
        <f t="shared" si="192"/>
        <v>0</v>
      </c>
      <c r="AA163" s="28">
        <f t="shared" si="193"/>
        <v>45267</v>
      </c>
      <c r="AB163" s="24">
        <f t="shared" si="194"/>
        <v>0</v>
      </c>
      <c r="AC163" s="25">
        <f t="shared" si="195"/>
        <v>0</v>
      </c>
      <c r="AD163" s="28">
        <f t="shared" si="196"/>
        <v>45267</v>
      </c>
      <c r="AE163" s="24">
        <f t="shared" si="197"/>
        <v>0</v>
      </c>
      <c r="AF163" s="25">
        <f t="shared" si="198"/>
        <v>0</v>
      </c>
      <c r="AG163" s="28">
        <f t="shared" si="199"/>
        <v>45267</v>
      </c>
      <c r="AH163" s="24">
        <f t="shared" si="200"/>
        <v>0</v>
      </c>
      <c r="AI163" s="25">
        <f t="shared" si="201"/>
        <v>0</v>
      </c>
      <c r="AJ163" s="28">
        <f t="shared" si="202"/>
        <v>45267</v>
      </c>
      <c r="AK163" s="24">
        <f t="shared" si="203"/>
        <v>0</v>
      </c>
      <c r="AL163" s="25">
        <f t="shared" si="204"/>
        <v>0</v>
      </c>
      <c r="AM163" s="29">
        <f t="shared" si="205"/>
        <v>0</v>
      </c>
      <c r="AN163" s="28">
        <f t="shared" si="206"/>
        <v>45267</v>
      </c>
      <c r="AO163" s="373">
        <f t="shared" si="175"/>
        <v>0</v>
      </c>
      <c r="AP163" s="374">
        <f t="shared" si="176"/>
        <v>0</v>
      </c>
      <c r="AQ163" s="27">
        <f t="shared" si="177"/>
        <v>0</v>
      </c>
      <c r="AR163" s="25">
        <f t="shared" si="178"/>
        <v>0</v>
      </c>
      <c r="AS163" s="25">
        <f t="shared" si="179"/>
        <v>0</v>
      </c>
      <c r="AT163" s="25">
        <f t="shared" si="180"/>
        <v>0</v>
      </c>
      <c r="AU163" s="29">
        <f t="shared" si="238"/>
        <v>0</v>
      </c>
      <c r="AV163" s="27">
        <f t="shared" si="207"/>
        <v>0</v>
      </c>
      <c r="AW163" s="27">
        <f t="shared" si="208"/>
        <v>0</v>
      </c>
      <c r="AX163" s="27">
        <f t="shared" si="209"/>
        <v>0</v>
      </c>
      <c r="AY163" s="27">
        <f t="shared" si="210"/>
        <v>0</v>
      </c>
      <c r="BH163" s="2">
        <f t="shared" si="211"/>
        <v>0</v>
      </c>
      <c r="BI163" s="298" t="str">
        <f t="shared" si="212"/>
        <v/>
      </c>
      <c r="BJ163" s="298" t="str">
        <f t="shared" si="181"/>
        <v/>
      </c>
      <c r="BQ163" s="4">
        <f t="shared" si="213"/>
        <v>45267</v>
      </c>
      <c r="BR163" s="112">
        <f t="shared" si="214"/>
        <v>0</v>
      </c>
      <c r="BS163" s="112">
        <f t="shared" si="215"/>
        <v>0</v>
      </c>
      <c r="BT163" s="112">
        <f t="shared" si="216"/>
        <v>0</v>
      </c>
      <c r="BU163" s="112">
        <f t="shared" si="217"/>
        <v>0</v>
      </c>
      <c r="BV163" s="112">
        <f t="shared" si="218"/>
        <v>0</v>
      </c>
      <c r="CI163" s="4">
        <f t="shared" si="219"/>
        <v>45267</v>
      </c>
      <c r="CJ163" s="50">
        <f ca="1">IF($BH163=0,IF($CO163="",CJ162+R163,IF('283'!$K$251=1,VLOOKUP($CO163,PerStBal,2)+R163,IF('283'!$K$253=1,(VLOOKUP($CO163,PerPortion,2)*VLOOKUP($CO163,PerStBal,6))+R163,GL!BS163))),0)</f>
        <v>0</v>
      </c>
      <c r="CK163" s="425">
        <f ca="1">IF($BH163=0,IF($CO163="",CK162+T163,IF('283'!$K$251=1,IF(mname2&lt;&gt;"",VLOOKUP($CO163,PerStBal,3)+T163,0),IF('283'!$K$253=1,(VLOOKUP($CO163,PerPortion,3)*VLOOKUP($CO163,PerStBal,6))+T163,GL!BT163))),0)</f>
        <v>0</v>
      </c>
      <c r="CL163" s="425">
        <f ca="1">IF($BH163=0,IF($CO163="",CL162+V163,IF('283'!$K$251=1,IF(mname3&lt;&gt;"",VLOOKUP($CO163,PerStBal,4)+V163,0),IF('283'!$K$253=1,(VLOOKUP($CO163,PerPortion,4)*VLOOKUP($CO163,PerStBal,6))+V163,GL!BU163))),0)</f>
        <v>0</v>
      </c>
      <c r="CM163" s="425">
        <f ca="1">IF($BH163=0,IF($CO163="",CM162+X163,IF('283'!$K$251=1,IF(mname4&lt;&gt;"",VLOOKUP($CO163,PerStBal,5)+X163,0),IF('283'!$K$253=1,(VLOOKUP($CO163,PerPortion,5)*VLOOKUP($CO163,PerStBal,6))+X163,GL!BV163))),0)</f>
        <v>0</v>
      </c>
      <c r="CN163" s="50">
        <f t="shared" ca="1" si="220"/>
        <v>0</v>
      </c>
      <c r="CO163" s="4" t="str">
        <f t="shared" ca="1" si="221"/>
        <v/>
      </c>
      <c r="CP163" s="377">
        <f t="shared" si="182"/>
        <v>0</v>
      </c>
      <c r="DI163" s="4">
        <f t="shared" si="222"/>
        <v>45267</v>
      </c>
      <c r="DJ163" s="112">
        <f t="shared" ca="1" si="223"/>
        <v>0</v>
      </c>
      <c r="DK163" s="112">
        <f t="shared" si="224"/>
        <v>0</v>
      </c>
      <c r="DL163" s="4">
        <f t="shared" si="225"/>
        <v>45267</v>
      </c>
      <c r="DM163" s="112">
        <f t="shared" ca="1" si="226"/>
        <v>0</v>
      </c>
      <c r="DN163" s="112">
        <f t="shared" si="227"/>
        <v>0</v>
      </c>
      <c r="DO163" s="4">
        <f t="shared" si="228"/>
        <v>45267</v>
      </c>
      <c r="DP163" s="112">
        <f t="shared" ca="1" si="229"/>
        <v>0</v>
      </c>
      <c r="DQ163" s="112">
        <f t="shared" si="230"/>
        <v>0</v>
      </c>
      <c r="DR163" s="4">
        <f t="shared" si="231"/>
        <v>45267</v>
      </c>
      <c r="DS163" s="112">
        <f t="shared" ca="1" si="232"/>
        <v>0</v>
      </c>
      <c r="DT163" s="112">
        <f t="shared" si="233"/>
        <v>0</v>
      </c>
      <c r="DU163" s="4">
        <f t="shared" si="234"/>
        <v>45267</v>
      </c>
      <c r="DV163" s="112">
        <f t="shared" si="235"/>
        <v>0</v>
      </c>
      <c r="DW163" s="112">
        <f t="shared" si="236"/>
        <v>0</v>
      </c>
    </row>
    <row r="164" spans="2:127" x14ac:dyDescent="0.25">
      <c r="B164" s="74">
        <f t="shared" si="245"/>
        <v>183</v>
      </c>
      <c r="C164" s="84">
        <f t="shared" si="246"/>
        <v>0</v>
      </c>
      <c r="D164" s="84">
        <f t="shared" si="246"/>
        <v>0</v>
      </c>
      <c r="E164" s="84">
        <f t="shared" si="246"/>
        <v>0</v>
      </c>
      <c r="F164" s="84">
        <f t="shared" si="246"/>
        <v>0</v>
      </c>
      <c r="H164" s="75">
        <f t="shared" si="239"/>
        <v>183</v>
      </c>
      <c r="I164" s="77">
        <f t="shared" si="240"/>
        <v>0</v>
      </c>
      <c r="J164" s="77">
        <f t="shared" si="241"/>
        <v>0</v>
      </c>
      <c r="K164" s="77">
        <f t="shared" si="242"/>
        <v>0</v>
      </c>
      <c r="L164" s="77">
        <f t="shared" si="243"/>
        <v>0</v>
      </c>
      <c r="M164" s="77">
        <f t="shared" si="244"/>
        <v>0</v>
      </c>
      <c r="Q164" s="4">
        <f t="shared" si="183"/>
        <v>45268</v>
      </c>
      <c r="R164" s="24">
        <f t="shared" si="184"/>
        <v>0</v>
      </c>
      <c r="S164" s="25">
        <f t="shared" si="185"/>
        <v>0</v>
      </c>
      <c r="T164" s="24">
        <f t="shared" si="186"/>
        <v>0</v>
      </c>
      <c r="U164" s="25">
        <f t="shared" si="187"/>
        <v>0</v>
      </c>
      <c r="V164" s="24">
        <f t="shared" si="188"/>
        <v>0</v>
      </c>
      <c r="W164" s="25">
        <f t="shared" si="189"/>
        <v>0</v>
      </c>
      <c r="X164" s="24">
        <f t="shared" si="190"/>
        <v>0</v>
      </c>
      <c r="Y164" s="26">
        <f t="shared" si="191"/>
        <v>0</v>
      </c>
      <c r="Z164" s="27">
        <f t="shared" si="192"/>
        <v>0</v>
      </c>
      <c r="AA164" s="28">
        <f t="shared" si="193"/>
        <v>45268</v>
      </c>
      <c r="AB164" s="24">
        <f t="shared" si="194"/>
        <v>0</v>
      </c>
      <c r="AC164" s="25">
        <f t="shared" si="195"/>
        <v>0</v>
      </c>
      <c r="AD164" s="28">
        <f t="shared" si="196"/>
        <v>45268</v>
      </c>
      <c r="AE164" s="24">
        <f t="shared" si="197"/>
        <v>0</v>
      </c>
      <c r="AF164" s="25">
        <f t="shared" si="198"/>
        <v>0</v>
      </c>
      <c r="AG164" s="28">
        <f t="shared" si="199"/>
        <v>45268</v>
      </c>
      <c r="AH164" s="24">
        <f t="shared" si="200"/>
        <v>0</v>
      </c>
      <c r="AI164" s="25">
        <f t="shared" si="201"/>
        <v>0</v>
      </c>
      <c r="AJ164" s="28">
        <f t="shared" si="202"/>
        <v>45268</v>
      </c>
      <c r="AK164" s="24">
        <f t="shared" si="203"/>
        <v>0</v>
      </c>
      <c r="AL164" s="25">
        <f t="shared" si="204"/>
        <v>0</v>
      </c>
      <c r="AM164" s="29">
        <f t="shared" si="205"/>
        <v>0</v>
      </c>
      <c r="AN164" s="28">
        <f t="shared" si="206"/>
        <v>45268</v>
      </c>
      <c r="AO164" s="373">
        <f t="shared" si="175"/>
        <v>0</v>
      </c>
      <c r="AP164" s="374">
        <f t="shared" si="176"/>
        <v>0</v>
      </c>
      <c r="AQ164" s="27">
        <f t="shared" si="177"/>
        <v>0</v>
      </c>
      <c r="AR164" s="25">
        <f t="shared" si="178"/>
        <v>0</v>
      </c>
      <c r="AS164" s="25">
        <f t="shared" si="179"/>
        <v>0</v>
      </c>
      <c r="AT164" s="25">
        <f t="shared" si="180"/>
        <v>0</v>
      </c>
      <c r="AU164" s="29">
        <f t="shared" si="238"/>
        <v>0</v>
      </c>
      <c r="AV164" s="27">
        <f t="shared" si="207"/>
        <v>0</v>
      </c>
      <c r="AW164" s="27">
        <f t="shared" si="208"/>
        <v>0</v>
      </c>
      <c r="AX164" s="27">
        <f t="shared" si="209"/>
        <v>0</v>
      </c>
      <c r="AY164" s="27">
        <f t="shared" si="210"/>
        <v>0</v>
      </c>
      <c r="BH164" s="2">
        <f t="shared" si="211"/>
        <v>0</v>
      </c>
      <c r="BI164" s="298" t="str">
        <f t="shared" si="212"/>
        <v/>
      </c>
      <c r="BJ164" s="298" t="str">
        <f t="shared" si="181"/>
        <v/>
      </c>
      <c r="BQ164" s="4">
        <f t="shared" si="213"/>
        <v>45268</v>
      </c>
      <c r="BR164" s="112">
        <f t="shared" si="214"/>
        <v>0</v>
      </c>
      <c r="BS164" s="112">
        <f t="shared" si="215"/>
        <v>0</v>
      </c>
      <c r="BT164" s="112">
        <f t="shared" si="216"/>
        <v>0</v>
      </c>
      <c r="BU164" s="112">
        <f t="shared" si="217"/>
        <v>0</v>
      </c>
      <c r="BV164" s="112">
        <f t="shared" si="218"/>
        <v>0</v>
      </c>
      <c r="CI164" s="4">
        <f t="shared" si="219"/>
        <v>45268</v>
      </c>
      <c r="CJ164" s="50">
        <f ca="1">IF($BH164=0,IF($CO164="",CJ163+R164,IF('283'!$K$251=1,VLOOKUP($CO164,PerStBal,2)+R164,IF('283'!$K$253=1,(VLOOKUP($CO164,PerPortion,2)*VLOOKUP($CO164,PerStBal,6))+R164,GL!BS164))),0)</f>
        <v>0</v>
      </c>
      <c r="CK164" s="425">
        <f ca="1">IF($BH164=0,IF($CO164="",CK163+T164,IF('283'!$K$251=1,IF(mname2&lt;&gt;"",VLOOKUP($CO164,PerStBal,3)+T164,0),IF('283'!$K$253=1,(VLOOKUP($CO164,PerPortion,3)*VLOOKUP($CO164,PerStBal,6))+T164,GL!BT164))),0)</f>
        <v>0</v>
      </c>
      <c r="CL164" s="425">
        <f ca="1">IF($BH164=0,IF($CO164="",CL163+V164,IF('283'!$K$251=1,IF(mname3&lt;&gt;"",VLOOKUP($CO164,PerStBal,4)+V164,0),IF('283'!$K$253=1,(VLOOKUP($CO164,PerPortion,4)*VLOOKUP($CO164,PerStBal,6))+V164,GL!BU164))),0)</f>
        <v>0</v>
      </c>
      <c r="CM164" s="425">
        <f ca="1">IF($BH164=0,IF($CO164="",CM163+X164,IF('283'!$K$251=1,IF(mname4&lt;&gt;"",VLOOKUP($CO164,PerStBal,5)+X164,0),IF('283'!$K$253=1,(VLOOKUP($CO164,PerPortion,5)*VLOOKUP($CO164,PerStBal,6))+X164,GL!BV164))),0)</f>
        <v>0</v>
      </c>
      <c r="CN164" s="50">
        <f t="shared" ca="1" si="220"/>
        <v>0</v>
      </c>
      <c r="CO164" s="4" t="str">
        <f t="shared" ca="1" si="221"/>
        <v/>
      </c>
      <c r="CP164" s="377">
        <f t="shared" si="182"/>
        <v>0</v>
      </c>
      <c r="DI164" s="4">
        <f t="shared" si="222"/>
        <v>45268</v>
      </c>
      <c r="DJ164" s="112">
        <f t="shared" ca="1" si="223"/>
        <v>0</v>
      </c>
      <c r="DK164" s="112">
        <f t="shared" si="224"/>
        <v>0</v>
      </c>
      <c r="DL164" s="4">
        <f t="shared" si="225"/>
        <v>45268</v>
      </c>
      <c r="DM164" s="112">
        <f t="shared" ca="1" si="226"/>
        <v>0</v>
      </c>
      <c r="DN164" s="112">
        <f t="shared" si="227"/>
        <v>0</v>
      </c>
      <c r="DO164" s="4">
        <f t="shared" si="228"/>
        <v>45268</v>
      </c>
      <c r="DP164" s="112">
        <f t="shared" ca="1" si="229"/>
        <v>0</v>
      </c>
      <c r="DQ164" s="112">
        <f t="shared" si="230"/>
        <v>0</v>
      </c>
      <c r="DR164" s="4">
        <f t="shared" si="231"/>
        <v>45268</v>
      </c>
      <c r="DS164" s="112">
        <f t="shared" ca="1" si="232"/>
        <v>0</v>
      </c>
      <c r="DT164" s="112">
        <f t="shared" si="233"/>
        <v>0</v>
      </c>
      <c r="DU164" s="4">
        <f t="shared" si="234"/>
        <v>45268</v>
      </c>
      <c r="DV164" s="112">
        <f t="shared" si="235"/>
        <v>0</v>
      </c>
      <c r="DW164" s="112">
        <f t="shared" si="236"/>
        <v>0</v>
      </c>
    </row>
    <row r="165" spans="2:127" x14ac:dyDescent="0.25">
      <c r="B165" s="74">
        <f t="shared" si="245"/>
        <v>183</v>
      </c>
      <c r="C165" s="84">
        <f t="shared" si="246"/>
        <v>0</v>
      </c>
      <c r="D165" s="84">
        <f t="shared" si="246"/>
        <v>0</v>
      </c>
      <c r="E165" s="84">
        <f t="shared" si="246"/>
        <v>0</v>
      </c>
      <c r="F165" s="84">
        <f t="shared" si="246"/>
        <v>0</v>
      </c>
      <c r="H165" s="75">
        <f t="shared" si="239"/>
        <v>183</v>
      </c>
      <c r="I165" s="77">
        <f t="shared" si="240"/>
        <v>0</v>
      </c>
      <c r="J165" s="77">
        <f t="shared" si="241"/>
        <v>0</v>
      </c>
      <c r="K165" s="77">
        <f t="shared" si="242"/>
        <v>0</v>
      </c>
      <c r="L165" s="77">
        <f t="shared" si="243"/>
        <v>0</v>
      </c>
      <c r="M165" s="77">
        <f t="shared" si="244"/>
        <v>0</v>
      </c>
      <c r="Q165" s="4">
        <f t="shared" si="183"/>
        <v>45269</v>
      </c>
      <c r="R165" s="24">
        <f t="shared" si="184"/>
        <v>0</v>
      </c>
      <c r="S165" s="25">
        <f t="shared" si="185"/>
        <v>0</v>
      </c>
      <c r="T165" s="24">
        <f t="shared" si="186"/>
        <v>0</v>
      </c>
      <c r="U165" s="25">
        <f t="shared" si="187"/>
        <v>0</v>
      </c>
      <c r="V165" s="24">
        <f t="shared" si="188"/>
        <v>0</v>
      </c>
      <c r="W165" s="25">
        <f t="shared" si="189"/>
        <v>0</v>
      </c>
      <c r="X165" s="24">
        <f t="shared" si="190"/>
        <v>0</v>
      </c>
      <c r="Y165" s="26">
        <f t="shared" si="191"/>
        <v>0</v>
      </c>
      <c r="Z165" s="27">
        <f t="shared" si="192"/>
        <v>0</v>
      </c>
      <c r="AA165" s="28">
        <f t="shared" si="193"/>
        <v>45269</v>
      </c>
      <c r="AB165" s="24">
        <f t="shared" si="194"/>
        <v>0</v>
      </c>
      <c r="AC165" s="25">
        <f t="shared" si="195"/>
        <v>0</v>
      </c>
      <c r="AD165" s="28">
        <f t="shared" si="196"/>
        <v>45269</v>
      </c>
      <c r="AE165" s="24">
        <f t="shared" si="197"/>
        <v>0</v>
      </c>
      <c r="AF165" s="25">
        <f t="shared" si="198"/>
        <v>0</v>
      </c>
      <c r="AG165" s="28">
        <f t="shared" si="199"/>
        <v>45269</v>
      </c>
      <c r="AH165" s="24">
        <f t="shared" si="200"/>
        <v>0</v>
      </c>
      <c r="AI165" s="25">
        <f t="shared" si="201"/>
        <v>0</v>
      </c>
      <c r="AJ165" s="28">
        <f t="shared" si="202"/>
        <v>45269</v>
      </c>
      <c r="AK165" s="24">
        <f t="shared" si="203"/>
        <v>0</v>
      </c>
      <c r="AL165" s="25">
        <f t="shared" si="204"/>
        <v>0</v>
      </c>
      <c r="AM165" s="29">
        <f t="shared" si="205"/>
        <v>0</v>
      </c>
      <c r="AN165" s="28">
        <f t="shared" si="206"/>
        <v>45269</v>
      </c>
      <c r="AO165" s="373">
        <f t="shared" si="175"/>
        <v>0</v>
      </c>
      <c r="AP165" s="374">
        <f t="shared" si="176"/>
        <v>0</v>
      </c>
      <c r="AQ165" s="27">
        <f t="shared" si="177"/>
        <v>0</v>
      </c>
      <c r="AR165" s="25">
        <f t="shared" si="178"/>
        <v>0</v>
      </c>
      <c r="AS165" s="25">
        <f t="shared" si="179"/>
        <v>0</v>
      </c>
      <c r="AT165" s="25">
        <f t="shared" si="180"/>
        <v>0</v>
      </c>
      <c r="AU165" s="29">
        <f t="shared" si="238"/>
        <v>0</v>
      </c>
      <c r="AV165" s="27">
        <f t="shared" si="207"/>
        <v>0</v>
      </c>
      <c r="AW165" s="27">
        <f t="shared" si="208"/>
        <v>0</v>
      </c>
      <c r="AX165" s="27">
        <f t="shared" si="209"/>
        <v>0</v>
      </c>
      <c r="AY165" s="27">
        <f t="shared" si="210"/>
        <v>0</v>
      </c>
      <c r="BH165" s="2">
        <f t="shared" si="211"/>
        <v>0</v>
      </c>
      <c r="BI165" s="298" t="str">
        <f t="shared" si="212"/>
        <v/>
      </c>
      <c r="BJ165" s="298" t="str">
        <f t="shared" si="181"/>
        <v/>
      </c>
      <c r="BQ165" s="4">
        <f t="shared" si="213"/>
        <v>45269</v>
      </c>
      <c r="BR165" s="112">
        <f t="shared" si="214"/>
        <v>0</v>
      </c>
      <c r="BS165" s="112">
        <f t="shared" si="215"/>
        <v>0</v>
      </c>
      <c r="BT165" s="112">
        <f t="shared" si="216"/>
        <v>0</v>
      </c>
      <c r="BU165" s="112">
        <f t="shared" si="217"/>
        <v>0</v>
      </c>
      <c r="BV165" s="112">
        <f t="shared" si="218"/>
        <v>0</v>
      </c>
      <c r="CI165" s="4">
        <f t="shared" si="219"/>
        <v>45269</v>
      </c>
      <c r="CJ165" s="50">
        <f ca="1">IF($BH165=0,IF($CO165="",CJ164+R165,IF('283'!$K$251=1,VLOOKUP($CO165,PerStBal,2)+R165,IF('283'!$K$253=1,(VLOOKUP($CO165,PerPortion,2)*VLOOKUP($CO165,PerStBal,6))+R165,GL!BS165))),0)</f>
        <v>0</v>
      </c>
      <c r="CK165" s="425">
        <f ca="1">IF($BH165=0,IF($CO165="",CK164+T165,IF('283'!$K$251=1,IF(mname2&lt;&gt;"",VLOOKUP($CO165,PerStBal,3)+T165,0),IF('283'!$K$253=1,(VLOOKUP($CO165,PerPortion,3)*VLOOKUP($CO165,PerStBal,6))+T165,GL!BT165))),0)</f>
        <v>0</v>
      </c>
      <c r="CL165" s="425">
        <f ca="1">IF($BH165=0,IF($CO165="",CL164+V165,IF('283'!$K$251=1,IF(mname3&lt;&gt;"",VLOOKUP($CO165,PerStBal,4)+V165,0),IF('283'!$K$253=1,(VLOOKUP($CO165,PerPortion,4)*VLOOKUP($CO165,PerStBal,6))+V165,GL!BU165))),0)</f>
        <v>0</v>
      </c>
      <c r="CM165" s="425">
        <f ca="1">IF($BH165=0,IF($CO165="",CM164+X165,IF('283'!$K$251=1,IF(mname4&lt;&gt;"",VLOOKUP($CO165,PerStBal,5)+X165,0),IF('283'!$K$253=1,(VLOOKUP($CO165,PerPortion,5)*VLOOKUP($CO165,PerStBal,6))+X165,GL!BV165))),0)</f>
        <v>0</v>
      </c>
      <c r="CN165" s="50">
        <f t="shared" ca="1" si="220"/>
        <v>0</v>
      </c>
      <c r="CO165" s="4" t="str">
        <f t="shared" ca="1" si="221"/>
        <v/>
      </c>
      <c r="CP165" s="377">
        <f t="shared" si="182"/>
        <v>0</v>
      </c>
      <c r="DI165" s="4">
        <f t="shared" si="222"/>
        <v>45269</v>
      </c>
      <c r="DJ165" s="112">
        <f t="shared" ca="1" si="223"/>
        <v>0</v>
      </c>
      <c r="DK165" s="112">
        <f t="shared" si="224"/>
        <v>0</v>
      </c>
      <c r="DL165" s="4">
        <f t="shared" si="225"/>
        <v>45269</v>
      </c>
      <c r="DM165" s="112">
        <f t="shared" ca="1" si="226"/>
        <v>0</v>
      </c>
      <c r="DN165" s="112">
        <f t="shared" si="227"/>
        <v>0</v>
      </c>
      <c r="DO165" s="4">
        <f t="shared" si="228"/>
        <v>45269</v>
      </c>
      <c r="DP165" s="112">
        <f t="shared" ca="1" si="229"/>
        <v>0</v>
      </c>
      <c r="DQ165" s="112">
        <f t="shared" si="230"/>
        <v>0</v>
      </c>
      <c r="DR165" s="4">
        <f t="shared" si="231"/>
        <v>45269</v>
      </c>
      <c r="DS165" s="112">
        <f t="shared" ca="1" si="232"/>
        <v>0</v>
      </c>
      <c r="DT165" s="112">
        <f t="shared" si="233"/>
        <v>0</v>
      </c>
      <c r="DU165" s="4">
        <f t="shared" si="234"/>
        <v>45269</v>
      </c>
      <c r="DV165" s="112">
        <f t="shared" si="235"/>
        <v>0</v>
      </c>
      <c r="DW165" s="112">
        <f t="shared" si="236"/>
        <v>0</v>
      </c>
    </row>
    <row r="166" spans="2:127" x14ac:dyDescent="0.25">
      <c r="B166" s="74">
        <f t="shared" si="245"/>
        <v>183</v>
      </c>
      <c r="C166" s="84">
        <f t="shared" si="246"/>
        <v>0</v>
      </c>
      <c r="D166" s="84">
        <f t="shared" si="246"/>
        <v>0</v>
      </c>
      <c r="E166" s="84">
        <f t="shared" si="246"/>
        <v>0</v>
      </c>
      <c r="F166" s="84">
        <f t="shared" si="246"/>
        <v>0</v>
      </c>
      <c r="H166" s="75">
        <f t="shared" si="239"/>
        <v>183</v>
      </c>
      <c r="I166" s="77">
        <f t="shared" si="240"/>
        <v>0</v>
      </c>
      <c r="J166" s="77">
        <f t="shared" si="241"/>
        <v>0</v>
      </c>
      <c r="K166" s="77">
        <f t="shared" si="242"/>
        <v>0</v>
      </c>
      <c r="L166" s="77">
        <f t="shared" si="243"/>
        <v>0</v>
      </c>
      <c r="M166" s="77">
        <f t="shared" si="244"/>
        <v>0</v>
      </c>
      <c r="Q166" s="4">
        <f t="shared" si="183"/>
        <v>45270</v>
      </c>
      <c r="R166" s="24">
        <f t="shared" si="184"/>
        <v>0</v>
      </c>
      <c r="S166" s="25">
        <f t="shared" si="185"/>
        <v>0</v>
      </c>
      <c r="T166" s="24">
        <f t="shared" si="186"/>
        <v>0</v>
      </c>
      <c r="U166" s="25">
        <f t="shared" si="187"/>
        <v>0</v>
      </c>
      <c r="V166" s="24">
        <f t="shared" si="188"/>
        <v>0</v>
      </c>
      <c r="W166" s="25">
        <f t="shared" si="189"/>
        <v>0</v>
      </c>
      <c r="X166" s="24">
        <f t="shared" si="190"/>
        <v>0</v>
      </c>
      <c r="Y166" s="26">
        <f t="shared" si="191"/>
        <v>0</v>
      </c>
      <c r="Z166" s="27">
        <f t="shared" si="192"/>
        <v>0</v>
      </c>
      <c r="AA166" s="28">
        <f t="shared" si="193"/>
        <v>45270</v>
      </c>
      <c r="AB166" s="24">
        <f t="shared" si="194"/>
        <v>0</v>
      </c>
      <c r="AC166" s="25">
        <f t="shared" si="195"/>
        <v>0</v>
      </c>
      <c r="AD166" s="28">
        <f t="shared" si="196"/>
        <v>45270</v>
      </c>
      <c r="AE166" s="24">
        <f t="shared" si="197"/>
        <v>0</v>
      </c>
      <c r="AF166" s="25">
        <f t="shared" si="198"/>
        <v>0</v>
      </c>
      <c r="AG166" s="28">
        <f t="shared" si="199"/>
        <v>45270</v>
      </c>
      <c r="AH166" s="24">
        <f t="shared" si="200"/>
        <v>0</v>
      </c>
      <c r="AI166" s="25">
        <f t="shared" si="201"/>
        <v>0</v>
      </c>
      <c r="AJ166" s="28">
        <f t="shared" si="202"/>
        <v>45270</v>
      </c>
      <c r="AK166" s="24">
        <f t="shared" si="203"/>
        <v>0</v>
      </c>
      <c r="AL166" s="25">
        <f t="shared" si="204"/>
        <v>0</v>
      </c>
      <c r="AM166" s="29">
        <f t="shared" si="205"/>
        <v>0</v>
      </c>
      <c r="AN166" s="28">
        <f t="shared" si="206"/>
        <v>45270</v>
      </c>
      <c r="AO166" s="373">
        <f t="shared" si="175"/>
        <v>0</v>
      </c>
      <c r="AP166" s="374">
        <f t="shared" si="176"/>
        <v>0</v>
      </c>
      <c r="AQ166" s="27">
        <f t="shared" si="177"/>
        <v>0</v>
      </c>
      <c r="AR166" s="25">
        <f t="shared" si="178"/>
        <v>0</v>
      </c>
      <c r="AS166" s="25">
        <f t="shared" si="179"/>
        <v>0</v>
      </c>
      <c r="AT166" s="25">
        <f t="shared" si="180"/>
        <v>0</v>
      </c>
      <c r="AU166" s="29">
        <f t="shared" si="238"/>
        <v>0</v>
      </c>
      <c r="AV166" s="27">
        <f t="shared" si="207"/>
        <v>0</v>
      </c>
      <c r="AW166" s="27">
        <f t="shared" si="208"/>
        <v>0</v>
      </c>
      <c r="AX166" s="27">
        <f t="shared" si="209"/>
        <v>0</v>
      </c>
      <c r="AY166" s="27">
        <f t="shared" si="210"/>
        <v>0</v>
      </c>
      <c r="BH166" s="2">
        <f t="shared" si="211"/>
        <v>0</v>
      </c>
      <c r="BI166" s="298" t="str">
        <f t="shared" si="212"/>
        <v/>
      </c>
      <c r="BJ166" s="298" t="str">
        <f t="shared" si="181"/>
        <v/>
      </c>
      <c r="BQ166" s="4">
        <f t="shared" si="213"/>
        <v>45270</v>
      </c>
      <c r="BR166" s="112">
        <f t="shared" si="214"/>
        <v>0</v>
      </c>
      <c r="BS166" s="112">
        <f t="shared" si="215"/>
        <v>0</v>
      </c>
      <c r="BT166" s="112">
        <f t="shared" si="216"/>
        <v>0</v>
      </c>
      <c r="BU166" s="112">
        <f t="shared" si="217"/>
        <v>0</v>
      </c>
      <c r="BV166" s="112">
        <f t="shared" si="218"/>
        <v>0</v>
      </c>
      <c r="CI166" s="4">
        <f t="shared" si="219"/>
        <v>45270</v>
      </c>
      <c r="CJ166" s="50">
        <f ca="1">IF($BH166=0,IF($CO166="",CJ165+R166,IF('283'!$K$251=1,VLOOKUP($CO166,PerStBal,2)+R166,IF('283'!$K$253=1,(VLOOKUP($CO166,PerPortion,2)*VLOOKUP($CO166,PerStBal,6))+R166,GL!BS166))),0)</f>
        <v>0</v>
      </c>
      <c r="CK166" s="425">
        <f ca="1">IF($BH166=0,IF($CO166="",CK165+T166,IF('283'!$K$251=1,IF(mname2&lt;&gt;"",VLOOKUP($CO166,PerStBal,3)+T166,0),IF('283'!$K$253=1,(VLOOKUP($CO166,PerPortion,3)*VLOOKUP($CO166,PerStBal,6))+T166,GL!BT166))),0)</f>
        <v>0</v>
      </c>
      <c r="CL166" s="425">
        <f ca="1">IF($BH166=0,IF($CO166="",CL165+V166,IF('283'!$K$251=1,IF(mname3&lt;&gt;"",VLOOKUP($CO166,PerStBal,4)+V166,0),IF('283'!$K$253=1,(VLOOKUP($CO166,PerPortion,4)*VLOOKUP($CO166,PerStBal,6))+V166,GL!BU166))),0)</f>
        <v>0</v>
      </c>
      <c r="CM166" s="425">
        <f ca="1">IF($BH166=0,IF($CO166="",CM165+X166,IF('283'!$K$251=1,IF(mname4&lt;&gt;"",VLOOKUP($CO166,PerStBal,5)+X166,0),IF('283'!$K$253=1,(VLOOKUP($CO166,PerPortion,5)*VLOOKUP($CO166,PerStBal,6))+X166,GL!BV166))),0)</f>
        <v>0</v>
      </c>
      <c r="CN166" s="50">
        <f t="shared" ca="1" si="220"/>
        <v>0</v>
      </c>
      <c r="CO166" s="4" t="str">
        <f t="shared" ca="1" si="221"/>
        <v/>
      </c>
      <c r="CP166" s="377">
        <f t="shared" si="182"/>
        <v>0</v>
      </c>
      <c r="DI166" s="4">
        <f t="shared" si="222"/>
        <v>45270</v>
      </c>
      <c r="DJ166" s="112">
        <f t="shared" ca="1" si="223"/>
        <v>0</v>
      </c>
      <c r="DK166" s="112">
        <f t="shared" si="224"/>
        <v>0</v>
      </c>
      <c r="DL166" s="4">
        <f t="shared" si="225"/>
        <v>45270</v>
      </c>
      <c r="DM166" s="112">
        <f t="shared" ca="1" si="226"/>
        <v>0</v>
      </c>
      <c r="DN166" s="112">
        <f t="shared" si="227"/>
        <v>0</v>
      </c>
      <c r="DO166" s="4">
        <f t="shared" si="228"/>
        <v>45270</v>
      </c>
      <c r="DP166" s="112">
        <f t="shared" ca="1" si="229"/>
        <v>0</v>
      </c>
      <c r="DQ166" s="112">
        <f t="shared" si="230"/>
        <v>0</v>
      </c>
      <c r="DR166" s="4">
        <f t="shared" si="231"/>
        <v>45270</v>
      </c>
      <c r="DS166" s="112">
        <f t="shared" ca="1" si="232"/>
        <v>0</v>
      </c>
      <c r="DT166" s="112">
        <f t="shared" si="233"/>
        <v>0</v>
      </c>
      <c r="DU166" s="4">
        <f t="shared" si="234"/>
        <v>45270</v>
      </c>
      <c r="DV166" s="112">
        <f t="shared" si="235"/>
        <v>0</v>
      </c>
      <c r="DW166" s="112">
        <f t="shared" si="236"/>
        <v>0</v>
      </c>
    </row>
    <row r="167" spans="2:127" x14ac:dyDescent="0.25">
      <c r="B167" s="74">
        <f t="shared" si="245"/>
        <v>183</v>
      </c>
      <c r="C167" s="84">
        <f t="shared" si="246"/>
        <v>0</v>
      </c>
      <c r="D167" s="84">
        <f t="shared" si="246"/>
        <v>0</v>
      </c>
      <c r="E167" s="84">
        <f t="shared" si="246"/>
        <v>0</v>
      </c>
      <c r="F167" s="84">
        <f t="shared" si="246"/>
        <v>0</v>
      </c>
      <c r="H167" s="75">
        <f t="shared" si="239"/>
        <v>183</v>
      </c>
      <c r="I167" s="77">
        <f t="shared" si="240"/>
        <v>0</v>
      </c>
      <c r="J167" s="77">
        <f t="shared" si="241"/>
        <v>0</v>
      </c>
      <c r="K167" s="77">
        <f t="shared" si="242"/>
        <v>0</v>
      </c>
      <c r="L167" s="77">
        <f t="shared" si="243"/>
        <v>0</v>
      </c>
      <c r="M167" s="77">
        <f t="shared" si="244"/>
        <v>0</v>
      </c>
      <c r="Q167" s="4">
        <f t="shared" si="183"/>
        <v>45271</v>
      </c>
      <c r="R167" s="24">
        <f t="shared" si="184"/>
        <v>0</v>
      </c>
      <c r="S167" s="25">
        <f t="shared" si="185"/>
        <v>0</v>
      </c>
      <c r="T167" s="24">
        <f t="shared" si="186"/>
        <v>0</v>
      </c>
      <c r="U167" s="25">
        <f t="shared" si="187"/>
        <v>0</v>
      </c>
      <c r="V167" s="24">
        <f t="shared" si="188"/>
        <v>0</v>
      </c>
      <c r="W167" s="25">
        <f t="shared" si="189"/>
        <v>0</v>
      </c>
      <c r="X167" s="24">
        <f t="shared" si="190"/>
        <v>0</v>
      </c>
      <c r="Y167" s="26">
        <f t="shared" si="191"/>
        <v>0</v>
      </c>
      <c r="Z167" s="27">
        <f t="shared" si="192"/>
        <v>0</v>
      </c>
      <c r="AA167" s="28">
        <f t="shared" si="193"/>
        <v>45271</v>
      </c>
      <c r="AB167" s="24">
        <f t="shared" si="194"/>
        <v>0</v>
      </c>
      <c r="AC167" s="25">
        <f t="shared" si="195"/>
        <v>0</v>
      </c>
      <c r="AD167" s="28">
        <f t="shared" si="196"/>
        <v>45271</v>
      </c>
      <c r="AE167" s="24">
        <f t="shared" si="197"/>
        <v>0</v>
      </c>
      <c r="AF167" s="25">
        <f t="shared" si="198"/>
        <v>0</v>
      </c>
      <c r="AG167" s="28">
        <f t="shared" si="199"/>
        <v>45271</v>
      </c>
      <c r="AH167" s="24">
        <f t="shared" si="200"/>
        <v>0</v>
      </c>
      <c r="AI167" s="25">
        <f t="shared" si="201"/>
        <v>0</v>
      </c>
      <c r="AJ167" s="28">
        <f t="shared" si="202"/>
        <v>45271</v>
      </c>
      <c r="AK167" s="24">
        <f t="shared" si="203"/>
        <v>0</v>
      </c>
      <c r="AL167" s="25">
        <f t="shared" si="204"/>
        <v>0</v>
      </c>
      <c r="AM167" s="29">
        <f t="shared" si="205"/>
        <v>0</v>
      </c>
      <c r="AN167" s="28">
        <f t="shared" si="206"/>
        <v>45271</v>
      </c>
      <c r="AO167" s="373">
        <f t="shared" si="175"/>
        <v>0</v>
      </c>
      <c r="AP167" s="374">
        <f t="shared" si="176"/>
        <v>0</v>
      </c>
      <c r="AQ167" s="27">
        <f t="shared" si="177"/>
        <v>0</v>
      </c>
      <c r="AR167" s="25">
        <f t="shared" si="178"/>
        <v>0</v>
      </c>
      <c r="AS167" s="25">
        <f t="shared" si="179"/>
        <v>0</v>
      </c>
      <c r="AT167" s="25">
        <f t="shared" si="180"/>
        <v>0</v>
      </c>
      <c r="AU167" s="29">
        <f t="shared" si="238"/>
        <v>0</v>
      </c>
      <c r="AV167" s="27">
        <f t="shared" si="207"/>
        <v>0</v>
      </c>
      <c r="AW167" s="27">
        <f t="shared" si="208"/>
        <v>0</v>
      </c>
      <c r="AX167" s="27">
        <f t="shared" si="209"/>
        <v>0</v>
      </c>
      <c r="AY167" s="27">
        <f t="shared" si="210"/>
        <v>0</v>
      </c>
      <c r="BH167" s="2">
        <f t="shared" si="211"/>
        <v>0</v>
      </c>
      <c r="BI167" s="298" t="str">
        <f t="shared" si="212"/>
        <v/>
      </c>
      <c r="BJ167" s="298" t="str">
        <f t="shared" si="181"/>
        <v/>
      </c>
      <c r="BQ167" s="4">
        <f t="shared" si="213"/>
        <v>45271</v>
      </c>
      <c r="BR167" s="112">
        <f t="shared" si="214"/>
        <v>0</v>
      </c>
      <c r="BS167" s="112">
        <f t="shared" si="215"/>
        <v>0</v>
      </c>
      <c r="BT167" s="112">
        <f t="shared" si="216"/>
        <v>0</v>
      </c>
      <c r="BU167" s="112">
        <f t="shared" si="217"/>
        <v>0</v>
      </c>
      <c r="BV167" s="112">
        <f t="shared" si="218"/>
        <v>0</v>
      </c>
      <c r="CI167" s="4">
        <f t="shared" si="219"/>
        <v>45271</v>
      </c>
      <c r="CJ167" s="50">
        <f ca="1">IF($BH167=0,IF($CO167="",CJ166+R167,IF('283'!$K$251=1,VLOOKUP($CO167,PerStBal,2)+R167,IF('283'!$K$253=1,(VLOOKUP($CO167,PerPortion,2)*VLOOKUP($CO167,PerStBal,6))+R167,GL!BS167))),0)</f>
        <v>0</v>
      </c>
      <c r="CK167" s="425">
        <f ca="1">IF($BH167=0,IF($CO167="",CK166+T167,IF('283'!$K$251=1,IF(mname2&lt;&gt;"",VLOOKUP($CO167,PerStBal,3)+T167,0),IF('283'!$K$253=1,(VLOOKUP($CO167,PerPortion,3)*VLOOKUP($CO167,PerStBal,6))+T167,GL!BT167))),0)</f>
        <v>0</v>
      </c>
      <c r="CL167" s="425">
        <f ca="1">IF($BH167=0,IF($CO167="",CL166+V167,IF('283'!$K$251=1,IF(mname3&lt;&gt;"",VLOOKUP($CO167,PerStBal,4)+V167,0),IF('283'!$K$253=1,(VLOOKUP($CO167,PerPortion,4)*VLOOKUP($CO167,PerStBal,6))+V167,GL!BU167))),0)</f>
        <v>0</v>
      </c>
      <c r="CM167" s="425">
        <f ca="1">IF($BH167=0,IF($CO167="",CM166+X167,IF('283'!$K$251=1,IF(mname4&lt;&gt;"",VLOOKUP($CO167,PerStBal,5)+X167,0),IF('283'!$K$253=1,(VLOOKUP($CO167,PerPortion,5)*VLOOKUP($CO167,PerStBal,6))+X167,GL!BV167))),0)</f>
        <v>0</v>
      </c>
      <c r="CN167" s="50">
        <f t="shared" ca="1" si="220"/>
        <v>0</v>
      </c>
      <c r="CO167" s="4" t="str">
        <f t="shared" ca="1" si="221"/>
        <v/>
      </c>
      <c r="CP167" s="377">
        <f t="shared" si="182"/>
        <v>0</v>
      </c>
      <c r="DI167" s="4">
        <f t="shared" si="222"/>
        <v>45271</v>
      </c>
      <c r="DJ167" s="112">
        <f t="shared" ca="1" si="223"/>
        <v>0</v>
      </c>
      <c r="DK167" s="112">
        <f t="shared" si="224"/>
        <v>0</v>
      </c>
      <c r="DL167" s="4">
        <f t="shared" si="225"/>
        <v>45271</v>
      </c>
      <c r="DM167" s="112">
        <f t="shared" ca="1" si="226"/>
        <v>0</v>
      </c>
      <c r="DN167" s="112">
        <f t="shared" si="227"/>
        <v>0</v>
      </c>
      <c r="DO167" s="4">
        <f t="shared" si="228"/>
        <v>45271</v>
      </c>
      <c r="DP167" s="112">
        <f t="shared" ca="1" si="229"/>
        <v>0</v>
      </c>
      <c r="DQ167" s="112">
        <f t="shared" si="230"/>
        <v>0</v>
      </c>
      <c r="DR167" s="4">
        <f t="shared" si="231"/>
        <v>45271</v>
      </c>
      <c r="DS167" s="112">
        <f t="shared" ca="1" si="232"/>
        <v>0</v>
      </c>
      <c r="DT167" s="112">
        <f t="shared" si="233"/>
        <v>0</v>
      </c>
      <c r="DU167" s="4">
        <f t="shared" si="234"/>
        <v>45271</v>
      </c>
      <c r="DV167" s="112">
        <f t="shared" si="235"/>
        <v>0</v>
      </c>
      <c r="DW167" s="112">
        <f t="shared" si="236"/>
        <v>0</v>
      </c>
    </row>
    <row r="168" spans="2:127" x14ac:dyDescent="0.25">
      <c r="B168" s="74">
        <f t="shared" si="245"/>
        <v>183</v>
      </c>
      <c r="C168" s="84">
        <f t="shared" si="246"/>
        <v>0</v>
      </c>
      <c r="D168" s="84">
        <f t="shared" si="246"/>
        <v>0</v>
      </c>
      <c r="E168" s="84">
        <f t="shared" si="246"/>
        <v>0</v>
      </c>
      <c r="F168" s="84">
        <f t="shared" si="246"/>
        <v>0</v>
      </c>
      <c r="H168" s="75">
        <f t="shared" si="239"/>
        <v>183</v>
      </c>
      <c r="I168" s="77">
        <f t="shared" si="240"/>
        <v>0</v>
      </c>
      <c r="J168" s="77">
        <f t="shared" si="241"/>
        <v>0</v>
      </c>
      <c r="K168" s="77">
        <f t="shared" si="242"/>
        <v>0</v>
      </c>
      <c r="L168" s="77">
        <f t="shared" si="243"/>
        <v>0</v>
      </c>
      <c r="M168" s="77">
        <f t="shared" si="244"/>
        <v>0</v>
      </c>
      <c r="Q168" s="4">
        <f t="shared" si="183"/>
        <v>45272</v>
      </c>
      <c r="R168" s="24">
        <f t="shared" si="184"/>
        <v>0</v>
      </c>
      <c r="S168" s="25">
        <f t="shared" si="185"/>
        <v>0</v>
      </c>
      <c r="T168" s="24">
        <f t="shared" si="186"/>
        <v>0</v>
      </c>
      <c r="U168" s="25">
        <f t="shared" si="187"/>
        <v>0</v>
      </c>
      <c r="V168" s="24">
        <f t="shared" si="188"/>
        <v>0</v>
      </c>
      <c r="W168" s="25">
        <f t="shared" si="189"/>
        <v>0</v>
      </c>
      <c r="X168" s="24">
        <f t="shared" si="190"/>
        <v>0</v>
      </c>
      <c r="Y168" s="26">
        <f t="shared" si="191"/>
        <v>0</v>
      </c>
      <c r="Z168" s="27">
        <f t="shared" si="192"/>
        <v>0</v>
      </c>
      <c r="AA168" s="28">
        <f t="shared" si="193"/>
        <v>45272</v>
      </c>
      <c r="AB168" s="24">
        <f t="shared" si="194"/>
        <v>0</v>
      </c>
      <c r="AC168" s="25">
        <f t="shared" si="195"/>
        <v>0</v>
      </c>
      <c r="AD168" s="28">
        <f t="shared" si="196"/>
        <v>45272</v>
      </c>
      <c r="AE168" s="24">
        <f t="shared" si="197"/>
        <v>0</v>
      </c>
      <c r="AF168" s="25">
        <f t="shared" si="198"/>
        <v>0</v>
      </c>
      <c r="AG168" s="28">
        <f t="shared" si="199"/>
        <v>45272</v>
      </c>
      <c r="AH168" s="24">
        <f t="shared" si="200"/>
        <v>0</v>
      </c>
      <c r="AI168" s="25">
        <f t="shared" si="201"/>
        <v>0</v>
      </c>
      <c r="AJ168" s="28">
        <f t="shared" si="202"/>
        <v>45272</v>
      </c>
      <c r="AK168" s="24">
        <f t="shared" si="203"/>
        <v>0</v>
      </c>
      <c r="AL168" s="25">
        <f t="shared" si="204"/>
        <v>0</v>
      </c>
      <c r="AM168" s="29">
        <f t="shared" si="205"/>
        <v>0</v>
      </c>
      <c r="AN168" s="28">
        <f t="shared" si="206"/>
        <v>45272</v>
      </c>
      <c r="AO168" s="373">
        <f t="shared" si="175"/>
        <v>0</v>
      </c>
      <c r="AP168" s="374">
        <f t="shared" si="176"/>
        <v>0</v>
      </c>
      <c r="AQ168" s="27">
        <f t="shared" si="177"/>
        <v>0</v>
      </c>
      <c r="AR168" s="25">
        <f t="shared" si="178"/>
        <v>0</v>
      </c>
      <c r="AS168" s="25">
        <f t="shared" si="179"/>
        <v>0</v>
      </c>
      <c r="AT168" s="25">
        <f t="shared" si="180"/>
        <v>0</v>
      </c>
      <c r="AU168" s="29">
        <f t="shared" si="238"/>
        <v>0</v>
      </c>
      <c r="AV168" s="27">
        <f t="shared" si="207"/>
        <v>0</v>
      </c>
      <c r="AW168" s="27">
        <f t="shared" si="208"/>
        <v>0</v>
      </c>
      <c r="AX168" s="27">
        <f t="shared" si="209"/>
        <v>0</v>
      </c>
      <c r="AY168" s="27">
        <f t="shared" si="210"/>
        <v>0</v>
      </c>
      <c r="BH168" s="2">
        <f t="shared" si="211"/>
        <v>0</v>
      </c>
      <c r="BI168" s="298" t="str">
        <f t="shared" si="212"/>
        <v/>
      </c>
      <c r="BJ168" s="298" t="str">
        <f t="shared" si="181"/>
        <v/>
      </c>
      <c r="BQ168" s="4">
        <f t="shared" si="213"/>
        <v>45272</v>
      </c>
      <c r="BR168" s="112">
        <f t="shared" si="214"/>
        <v>0</v>
      </c>
      <c r="BS168" s="112">
        <f t="shared" si="215"/>
        <v>0</v>
      </c>
      <c r="BT168" s="112">
        <f t="shared" si="216"/>
        <v>0</v>
      </c>
      <c r="BU168" s="112">
        <f t="shared" si="217"/>
        <v>0</v>
      </c>
      <c r="BV168" s="112">
        <f t="shared" si="218"/>
        <v>0</v>
      </c>
      <c r="CI168" s="4">
        <f t="shared" si="219"/>
        <v>45272</v>
      </c>
      <c r="CJ168" s="50">
        <f ca="1">IF($BH168=0,IF($CO168="",CJ167+R168,IF('283'!$K$251=1,VLOOKUP($CO168,PerStBal,2)+R168,IF('283'!$K$253=1,(VLOOKUP($CO168,PerPortion,2)*VLOOKUP($CO168,PerStBal,6))+R168,GL!BS168))),0)</f>
        <v>0</v>
      </c>
      <c r="CK168" s="425">
        <f ca="1">IF($BH168=0,IF($CO168="",CK167+T168,IF('283'!$K$251=1,IF(mname2&lt;&gt;"",VLOOKUP($CO168,PerStBal,3)+T168,0),IF('283'!$K$253=1,(VLOOKUP($CO168,PerPortion,3)*VLOOKUP($CO168,PerStBal,6))+T168,GL!BT168))),0)</f>
        <v>0</v>
      </c>
      <c r="CL168" s="425">
        <f ca="1">IF($BH168=0,IF($CO168="",CL167+V168,IF('283'!$K$251=1,IF(mname3&lt;&gt;"",VLOOKUP($CO168,PerStBal,4)+V168,0),IF('283'!$K$253=1,(VLOOKUP($CO168,PerPortion,4)*VLOOKUP($CO168,PerStBal,6))+V168,GL!BU168))),0)</f>
        <v>0</v>
      </c>
      <c r="CM168" s="425">
        <f ca="1">IF($BH168=0,IF($CO168="",CM167+X168,IF('283'!$K$251=1,IF(mname4&lt;&gt;"",VLOOKUP($CO168,PerStBal,5)+X168,0),IF('283'!$K$253=1,(VLOOKUP($CO168,PerPortion,5)*VLOOKUP($CO168,PerStBal,6))+X168,GL!BV168))),0)</f>
        <v>0</v>
      </c>
      <c r="CN168" s="50">
        <f t="shared" ca="1" si="220"/>
        <v>0</v>
      </c>
      <c r="CO168" s="4" t="str">
        <f t="shared" ca="1" si="221"/>
        <v/>
      </c>
      <c r="CP168" s="377">
        <f t="shared" si="182"/>
        <v>0</v>
      </c>
      <c r="DI168" s="4">
        <f t="shared" si="222"/>
        <v>45272</v>
      </c>
      <c r="DJ168" s="112">
        <f t="shared" ca="1" si="223"/>
        <v>0</v>
      </c>
      <c r="DK168" s="112">
        <f t="shared" si="224"/>
        <v>0</v>
      </c>
      <c r="DL168" s="4">
        <f t="shared" si="225"/>
        <v>45272</v>
      </c>
      <c r="DM168" s="112">
        <f t="shared" ca="1" si="226"/>
        <v>0</v>
      </c>
      <c r="DN168" s="112">
        <f t="shared" si="227"/>
        <v>0</v>
      </c>
      <c r="DO168" s="4">
        <f t="shared" si="228"/>
        <v>45272</v>
      </c>
      <c r="DP168" s="112">
        <f t="shared" ca="1" si="229"/>
        <v>0</v>
      </c>
      <c r="DQ168" s="112">
        <f t="shared" si="230"/>
        <v>0</v>
      </c>
      <c r="DR168" s="4">
        <f t="shared" si="231"/>
        <v>45272</v>
      </c>
      <c r="DS168" s="112">
        <f t="shared" ca="1" si="232"/>
        <v>0</v>
      </c>
      <c r="DT168" s="112">
        <f t="shared" si="233"/>
        <v>0</v>
      </c>
      <c r="DU168" s="4">
        <f t="shared" si="234"/>
        <v>45272</v>
      </c>
      <c r="DV168" s="112">
        <f t="shared" si="235"/>
        <v>0</v>
      </c>
      <c r="DW168" s="112">
        <f t="shared" si="236"/>
        <v>0</v>
      </c>
    </row>
    <row r="169" spans="2:127" x14ac:dyDescent="0.25">
      <c r="B169" s="74">
        <f t="shared" si="245"/>
        <v>183</v>
      </c>
      <c r="C169" s="84">
        <f t="shared" si="246"/>
        <v>0</v>
      </c>
      <c r="D169" s="84">
        <f t="shared" si="246"/>
        <v>0</v>
      </c>
      <c r="E169" s="84">
        <f t="shared" si="246"/>
        <v>0</v>
      </c>
      <c r="F169" s="84">
        <f t="shared" si="246"/>
        <v>0</v>
      </c>
      <c r="H169" s="75">
        <f t="shared" si="239"/>
        <v>183</v>
      </c>
      <c r="I169" s="77">
        <f t="shared" si="240"/>
        <v>0</v>
      </c>
      <c r="J169" s="77">
        <f t="shared" si="241"/>
        <v>0</v>
      </c>
      <c r="K169" s="77">
        <f t="shared" si="242"/>
        <v>0</v>
      </c>
      <c r="L169" s="77">
        <f t="shared" si="243"/>
        <v>0</v>
      </c>
      <c r="M169" s="77">
        <f t="shared" si="244"/>
        <v>0</v>
      </c>
      <c r="Q169" s="4">
        <f t="shared" si="183"/>
        <v>45273</v>
      </c>
      <c r="R169" s="24">
        <f t="shared" si="184"/>
        <v>0</v>
      </c>
      <c r="S169" s="25">
        <f t="shared" si="185"/>
        <v>0</v>
      </c>
      <c r="T169" s="24">
        <f t="shared" si="186"/>
        <v>0</v>
      </c>
      <c r="U169" s="25">
        <f t="shared" si="187"/>
        <v>0</v>
      </c>
      <c r="V169" s="24">
        <f t="shared" si="188"/>
        <v>0</v>
      </c>
      <c r="W169" s="25">
        <f t="shared" si="189"/>
        <v>0</v>
      </c>
      <c r="X169" s="24">
        <f t="shared" si="190"/>
        <v>0</v>
      </c>
      <c r="Y169" s="26">
        <f t="shared" si="191"/>
        <v>0</v>
      </c>
      <c r="Z169" s="27">
        <f t="shared" si="192"/>
        <v>0</v>
      </c>
      <c r="AA169" s="28">
        <f t="shared" si="193"/>
        <v>45273</v>
      </c>
      <c r="AB169" s="24">
        <f t="shared" si="194"/>
        <v>0</v>
      </c>
      <c r="AC169" s="25">
        <f t="shared" si="195"/>
        <v>0</v>
      </c>
      <c r="AD169" s="28">
        <f t="shared" si="196"/>
        <v>45273</v>
      </c>
      <c r="AE169" s="24">
        <f t="shared" si="197"/>
        <v>0</v>
      </c>
      <c r="AF169" s="25">
        <f t="shared" si="198"/>
        <v>0</v>
      </c>
      <c r="AG169" s="28">
        <f t="shared" si="199"/>
        <v>45273</v>
      </c>
      <c r="AH169" s="24">
        <f t="shared" si="200"/>
        <v>0</v>
      </c>
      <c r="AI169" s="25">
        <f t="shared" si="201"/>
        <v>0</v>
      </c>
      <c r="AJ169" s="28">
        <f t="shared" si="202"/>
        <v>45273</v>
      </c>
      <c r="AK169" s="24">
        <f t="shared" si="203"/>
        <v>0</v>
      </c>
      <c r="AL169" s="25">
        <f t="shared" si="204"/>
        <v>0</v>
      </c>
      <c r="AM169" s="29">
        <f t="shared" si="205"/>
        <v>0</v>
      </c>
      <c r="AN169" s="28">
        <f t="shared" si="206"/>
        <v>45273</v>
      </c>
      <c r="AO169" s="373">
        <f t="shared" si="175"/>
        <v>0</v>
      </c>
      <c r="AP169" s="374">
        <f t="shared" si="176"/>
        <v>0</v>
      </c>
      <c r="AQ169" s="27">
        <f t="shared" si="177"/>
        <v>0</v>
      </c>
      <c r="AR169" s="25">
        <f t="shared" si="178"/>
        <v>0</v>
      </c>
      <c r="AS169" s="25">
        <f t="shared" si="179"/>
        <v>0</v>
      </c>
      <c r="AT169" s="25">
        <f t="shared" si="180"/>
        <v>0</v>
      </c>
      <c r="AU169" s="29">
        <f t="shared" si="238"/>
        <v>0</v>
      </c>
      <c r="AV169" s="27">
        <f t="shared" si="207"/>
        <v>0</v>
      </c>
      <c r="AW169" s="27">
        <f t="shared" si="208"/>
        <v>0</v>
      </c>
      <c r="AX169" s="27">
        <f t="shared" si="209"/>
        <v>0</v>
      </c>
      <c r="AY169" s="27">
        <f t="shared" si="210"/>
        <v>0</v>
      </c>
      <c r="BH169" s="2">
        <f t="shared" si="211"/>
        <v>0</v>
      </c>
      <c r="BI169" s="298" t="str">
        <f t="shared" si="212"/>
        <v/>
      </c>
      <c r="BJ169" s="298" t="str">
        <f t="shared" si="181"/>
        <v/>
      </c>
      <c r="BQ169" s="4">
        <f t="shared" si="213"/>
        <v>45273</v>
      </c>
      <c r="BR169" s="112">
        <f t="shared" si="214"/>
        <v>0</v>
      </c>
      <c r="BS169" s="112">
        <f t="shared" si="215"/>
        <v>0</v>
      </c>
      <c r="BT169" s="112">
        <f t="shared" si="216"/>
        <v>0</v>
      </c>
      <c r="BU169" s="112">
        <f t="shared" si="217"/>
        <v>0</v>
      </c>
      <c r="BV169" s="112">
        <f t="shared" si="218"/>
        <v>0</v>
      </c>
      <c r="CI169" s="4">
        <f t="shared" si="219"/>
        <v>45273</v>
      </c>
      <c r="CJ169" s="50">
        <f ca="1">IF($BH169=0,IF($CO169="",CJ168+R169,IF('283'!$K$251=1,VLOOKUP($CO169,PerStBal,2)+R169,IF('283'!$K$253=1,(VLOOKUP($CO169,PerPortion,2)*VLOOKUP($CO169,PerStBal,6))+R169,GL!BS169))),0)</f>
        <v>0</v>
      </c>
      <c r="CK169" s="425">
        <f ca="1">IF($BH169=0,IF($CO169="",CK168+T169,IF('283'!$K$251=1,IF(mname2&lt;&gt;"",VLOOKUP($CO169,PerStBal,3)+T169,0),IF('283'!$K$253=1,(VLOOKUP($CO169,PerPortion,3)*VLOOKUP($CO169,PerStBal,6))+T169,GL!BT169))),0)</f>
        <v>0</v>
      </c>
      <c r="CL169" s="425">
        <f ca="1">IF($BH169=0,IF($CO169="",CL168+V169,IF('283'!$K$251=1,IF(mname3&lt;&gt;"",VLOOKUP($CO169,PerStBal,4)+V169,0),IF('283'!$K$253=1,(VLOOKUP($CO169,PerPortion,4)*VLOOKUP($CO169,PerStBal,6))+V169,GL!BU169))),0)</f>
        <v>0</v>
      </c>
      <c r="CM169" s="425">
        <f ca="1">IF($BH169=0,IF($CO169="",CM168+X169,IF('283'!$K$251=1,IF(mname4&lt;&gt;"",VLOOKUP($CO169,PerStBal,5)+X169,0),IF('283'!$K$253=1,(VLOOKUP($CO169,PerPortion,5)*VLOOKUP($CO169,PerStBal,6))+X169,GL!BV169))),0)</f>
        <v>0</v>
      </c>
      <c r="CN169" s="50">
        <f t="shared" ca="1" si="220"/>
        <v>0</v>
      </c>
      <c r="CO169" s="4" t="str">
        <f t="shared" ca="1" si="221"/>
        <v/>
      </c>
      <c r="CP169" s="377">
        <f t="shared" si="182"/>
        <v>0</v>
      </c>
      <c r="DI169" s="4">
        <f t="shared" si="222"/>
        <v>45273</v>
      </c>
      <c r="DJ169" s="112">
        <f t="shared" ca="1" si="223"/>
        <v>0</v>
      </c>
      <c r="DK169" s="112">
        <f t="shared" si="224"/>
        <v>0</v>
      </c>
      <c r="DL169" s="4">
        <f t="shared" si="225"/>
        <v>45273</v>
      </c>
      <c r="DM169" s="112">
        <f t="shared" ca="1" si="226"/>
        <v>0</v>
      </c>
      <c r="DN169" s="112">
        <f t="shared" si="227"/>
        <v>0</v>
      </c>
      <c r="DO169" s="4">
        <f t="shared" si="228"/>
        <v>45273</v>
      </c>
      <c r="DP169" s="112">
        <f t="shared" ca="1" si="229"/>
        <v>0</v>
      </c>
      <c r="DQ169" s="112">
        <f t="shared" si="230"/>
        <v>0</v>
      </c>
      <c r="DR169" s="4">
        <f t="shared" si="231"/>
        <v>45273</v>
      </c>
      <c r="DS169" s="112">
        <f t="shared" ca="1" si="232"/>
        <v>0</v>
      </c>
      <c r="DT169" s="112">
        <f t="shared" si="233"/>
        <v>0</v>
      </c>
      <c r="DU169" s="4">
        <f t="shared" si="234"/>
        <v>45273</v>
      </c>
      <c r="DV169" s="112">
        <f t="shared" si="235"/>
        <v>0</v>
      </c>
      <c r="DW169" s="112">
        <f t="shared" si="236"/>
        <v>0</v>
      </c>
    </row>
    <row r="170" spans="2:127" x14ac:dyDescent="0.25">
      <c r="B170" s="74">
        <f t="shared" si="245"/>
        <v>183</v>
      </c>
      <c r="C170" s="84">
        <f t="shared" si="246"/>
        <v>0</v>
      </c>
      <c r="D170" s="84">
        <f t="shared" si="246"/>
        <v>0</v>
      </c>
      <c r="E170" s="84">
        <f t="shared" si="246"/>
        <v>0</v>
      </c>
      <c r="F170" s="84">
        <f t="shared" si="246"/>
        <v>0</v>
      </c>
      <c r="H170" s="75">
        <f t="shared" si="239"/>
        <v>183</v>
      </c>
      <c r="I170" s="77">
        <f t="shared" si="240"/>
        <v>0</v>
      </c>
      <c r="J170" s="77">
        <f t="shared" si="241"/>
        <v>0</v>
      </c>
      <c r="K170" s="77">
        <f t="shared" si="242"/>
        <v>0</v>
      </c>
      <c r="L170" s="77">
        <f t="shared" si="243"/>
        <v>0</v>
      </c>
      <c r="M170" s="77">
        <f t="shared" si="244"/>
        <v>0</v>
      </c>
      <c r="Q170" s="4">
        <f t="shared" si="183"/>
        <v>45274</v>
      </c>
      <c r="R170" s="24">
        <f t="shared" si="184"/>
        <v>0</v>
      </c>
      <c r="S170" s="25">
        <f t="shared" si="185"/>
        <v>0</v>
      </c>
      <c r="T170" s="24">
        <f t="shared" si="186"/>
        <v>0</v>
      </c>
      <c r="U170" s="25">
        <f t="shared" si="187"/>
        <v>0</v>
      </c>
      <c r="V170" s="24">
        <f t="shared" si="188"/>
        <v>0</v>
      </c>
      <c r="W170" s="25">
        <f t="shared" si="189"/>
        <v>0</v>
      </c>
      <c r="X170" s="24">
        <f t="shared" si="190"/>
        <v>0</v>
      </c>
      <c r="Y170" s="26">
        <f t="shared" si="191"/>
        <v>0</v>
      </c>
      <c r="Z170" s="27">
        <f t="shared" si="192"/>
        <v>0</v>
      </c>
      <c r="AA170" s="28">
        <f t="shared" si="193"/>
        <v>45274</v>
      </c>
      <c r="AB170" s="24">
        <f t="shared" si="194"/>
        <v>0</v>
      </c>
      <c r="AC170" s="25">
        <f t="shared" si="195"/>
        <v>0</v>
      </c>
      <c r="AD170" s="28">
        <f t="shared" si="196"/>
        <v>45274</v>
      </c>
      <c r="AE170" s="24">
        <f t="shared" si="197"/>
        <v>0</v>
      </c>
      <c r="AF170" s="25">
        <f t="shared" si="198"/>
        <v>0</v>
      </c>
      <c r="AG170" s="28">
        <f t="shared" si="199"/>
        <v>45274</v>
      </c>
      <c r="AH170" s="24">
        <f t="shared" si="200"/>
        <v>0</v>
      </c>
      <c r="AI170" s="25">
        <f t="shared" si="201"/>
        <v>0</v>
      </c>
      <c r="AJ170" s="28">
        <f t="shared" si="202"/>
        <v>45274</v>
      </c>
      <c r="AK170" s="24">
        <f t="shared" si="203"/>
        <v>0</v>
      </c>
      <c r="AL170" s="25">
        <f t="shared" si="204"/>
        <v>0</v>
      </c>
      <c r="AM170" s="29">
        <f t="shared" si="205"/>
        <v>0</v>
      </c>
      <c r="AN170" s="28">
        <f t="shared" si="206"/>
        <v>45274</v>
      </c>
      <c r="AO170" s="373">
        <f t="shared" si="175"/>
        <v>0</v>
      </c>
      <c r="AP170" s="374">
        <f t="shared" si="176"/>
        <v>0</v>
      </c>
      <c r="AQ170" s="27">
        <f t="shared" si="177"/>
        <v>0</v>
      </c>
      <c r="AR170" s="25">
        <f t="shared" si="178"/>
        <v>0</v>
      </c>
      <c r="AS170" s="25">
        <f t="shared" si="179"/>
        <v>0</v>
      </c>
      <c r="AT170" s="25">
        <f t="shared" si="180"/>
        <v>0</v>
      </c>
      <c r="AU170" s="29">
        <f t="shared" si="238"/>
        <v>0</v>
      </c>
      <c r="AV170" s="27">
        <f t="shared" si="207"/>
        <v>0</v>
      </c>
      <c r="AW170" s="27">
        <f t="shared" si="208"/>
        <v>0</v>
      </c>
      <c r="AX170" s="27">
        <f t="shared" si="209"/>
        <v>0</v>
      </c>
      <c r="AY170" s="27">
        <f t="shared" si="210"/>
        <v>0</v>
      </c>
      <c r="BH170" s="2">
        <f t="shared" si="211"/>
        <v>0</v>
      </c>
      <c r="BI170" s="298" t="str">
        <f t="shared" si="212"/>
        <v/>
      </c>
      <c r="BJ170" s="298" t="str">
        <f t="shared" si="181"/>
        <v/>
      </c>
      <c r="BQ170" s="4">
        <f t="shared" si="213"/>
        <v>45274</v>
      </c>
      <c r="BR170" s="112">
        <f t="shared" si="214"/>
        <v>0</v>
      </c>
      <c r="BS170" s="112">
        <f t="shared" si="215"/>
        <v>0</v>
      </c>
      <c r="BT170" s="112">
        <f t="shared" si="216"/>
        <v>0</v>
      </c>
      <c r="BU170" s="112">
        <f t="shared" si="217"/>
        <v>0</v>
      </c>
      <c r="BV170" s="112">
        <f t="shared" si="218"/>
        <v>0</v>
      </c>
      <c r="CI170" s="4">
        <f t="shared" si="219"/>
        <v>45274</v>
      </c>
      <c r="CJ170" s="50">
        <f ca="1">IF($BH170=0,IF($CO170="",CJ169+R170,IF('283'!$K$251=1,VLOOKUP($CO170,PerStBal,2)+R170,IF('283'!$K$253=1,(VLOOKUP($CO170,PerPortion,2)*VLOOKUP($CO170,PerStBal,6))+R170,GL!BS170))),0)</f>
        <v>0</v>
      </c>
      <c r="CK170" s="425">
        <f ca="1">IF($BH170=0,IF($CO170="",CK169+T170,IF('283'!$K$251=1,IF(mname2&lt;&gt;"",VLOOKUP($CO170,PerStBal,3)+T170,0),IF('283'!$K$253=1,(VLOOKUP($CO170,PerPortion,3)*VLOOKUP($CO170,PerStBal,6))+T170,GL!BT170))),0)</f>
        <v>0</v>
      </c>
      <c r="CL170" s="425">
        <f ca="1">IF($BH170=0,IF($CO170="",CL169+V170,IF('283'!$K$251=1,IF(mname3&lt;&gt;"",VLOOKUP($CO170,PerStBal,4)+V170,0),IF('283'!$K$253=1,(VLOOKUP($CO170,PerPortion,4)*VLOOKUP($CO170,PerStBal,6))+V170,GL!BU170))),0)</f>
        <v>0</v>
      </c>
      <c r="CM170" s="425">
        <f ca="1">IF($BH170=0,IF($CO170="",CM169+X170,IF('283'!$K$251=1,IF(mname4&lt;&gt;"",VLOOKUP($CO170,PerStBal,5)+X170,0),IF('283'!$K$253=1,(VLOOKUP($CO170,PerPortion,5)*VLOOKUP($CO170,PerStBal,6))+X170,GL!BV170))),0)</f>
        <v>0</v>
      </c>
      <c r="CN170" s="50">
        <f t="shared" ca="1" si="220"/>
        <v>0</v>
      </c>
      <c r="CO170" s="4" t="str">
        <f t="shared" ca="1" si="221"/>
        <v/>
      </c>
      <c r="CP170" s="377">
        <f t="shared" si="182"/>
        <v>0</v>
      </c>
      <c r="DI170" s="4">
        <f t="shared" si="222"/>
        <v>45274</v>
      </c>
      <c r="DJ170" s="112">
        <f t="shared" ca="1" si="223"/>
        <v>0</v>
      </c>
      <c r="DK170" s="112">
        <f t="shared" si="224"/>
        <v>0</v>
      </c>
      <c r="DL170" s="4">
        <f t="shared" si="225"/>
        <v>45274</v>
      </c>
      <c r="DM170" s="112">
        <f t="shared" ca="1" si="226"/>
        <v>0</v>
      </c>
      <c r="DN170" s="112">
        <f t="shared" si="227"/>
        <v>0</v>
      </c>
      <c r="DO170" s="4">
        <f t="shared" si="228"/>
        <v>45274</v>
      </c>
      <c r="DP170" s="112">
        <f t="shared" ca="1" si="229"/>
        <v>0</v>
      </c>
      <c r="DQ170" s="112">
        <f t="shared" si="230"/>
        <v>0</v>
      </c>
      <c r="DR170" s="4">
        <f t="shared" si="231"/>
        <v>45274</v>
      </c>
      <c r="DS170" s="112">
        <f t="shared" ca="1" si="232"/>
        <v>0</v>
      </c>
      <c r="DT170" s="112">
        <f t="shared" si="233"/>
        <v>0</v>
      </c>
      <c r="DU170" s="4">
        <f t="shared" si="234"/>
        <v>45274</v>
      </c>
      <c r="DV170" s="112">
        <f t="shared" si="235"/>
        <v>0</v>
      </c>
      <c r="DW170" s="112">
        <f t="shared" si="236"/>
        <v>0</v>
      </c>
    </row>
    <row r="171" spans="2:127" x14ac:dyDescent="0.25">
      <c r="B171" s="74">
        <f t="shared" si="245"/>
        <v>183</v>
      </c>
      <c r="C171" s="84">
        <f t="shared" si="246"/>
        <v>0</v>
      </c>
      <c r="D171" s="84">
        <f t="shared" si="246"/>
        <v>0</v>
      </c>
      <c r="E171" s="84">
        <f t="shared" si="246"/>
        <v>0</v>
      </c>
      <c r="F171" s="84">
        <f t="shared" si="246"/>
        <v>0</v>
      </c>
      <c r="H171" s="75">
        <f t="shared" si="239"/>
        <v>183</v>
      </c>
      <c r="I171" s="77">
        <f t="shared" si="240"/>
        <v>0</v>
      </c>
      <c r="J171" s="77">
        <f t="shared" si="241"/>
        <v>0</v>
      </c>
      <c r="K171" s="77">
        <f t="shared" si="242"/>
        <v>0</v>
      </c>
      <c r="L171" s="77">
        <f t="shared" si="243"/>
        <v>0</v>
      </c>
      <c r="M171" s="77">
        <f t="shared" si="244"/>
        <v>0</v>
      </c>
      <c r="Q171" s="4">
        <f t="shared" si="183"/>
        <v>45275</v>
      </c>
      <c r="R171" s="24">
        <f t="shared" si="184"/>
        <v>0</v>
      </c>
      <c r="S171" s="25">
        <f t="shared" si="185"/>
        <v>0</v>
      </c>
      <c r="T171" s="24">
        <f t="shared" si="186"/>
        <v>0</v>
      </c>
      <c r="U171" s="25">
        <f t="shared" si="187"/>
        <v>0</v>
      </c>
      <c r="V171" s="24">
        <f t="shared" si="188"/>
        <v>0</v>
      </c>
      <c r="W171" s="25">
        <f t="shared" si="189"/>
        <v>0</v>
      </c>
      <c r="X171" s="24">
        <f t="shared" si="190"/>
        <v>0</v>
      </c>
      <c r="Y171" s="26">
        <f t="shared" si="191"/>
        <v>0</v>
      </c>
      <c r="Z171" s="27">
        <f t="shared" si="192"/>
        <v>0</v>
      </c>
      <c r="AA171" s="28">
        <f t="shared" si="193"/>
        <v>45275</v>
      </c>
      <c r="AB171" s="24">
        <f t="shared" si="194"/>
        <v>0</v>
      </c>
      <c r="AC171" s="25">
        <f t="shared" si="195"/>
        <v>0</v>
      </c>
      <c r="AD171" s="28">
        <f t="shared" si="196"/>
        <v>45275</v>
      </c>
      <c r="AE171" s="24">
        <f t="shared" si="197"/>
        <v>0</v>
      </c>
      <c r="AF171" s="25">
        <f t="shared" si="198"/>
        <v>0</v>
      </c>
      <c r="AG171" s="28">
        <f t="shared" si="199"/>
        <v>45275</v>
      </c>
      <c r="AH171" s="24">
        <f t="shared" si="200"/>
        <v>0</v>
      </c>
      <c r="AI171" s="25">
        <f t="shared" si="201"/>
        <v>0</v>
      </c>
      <c r="AJ171" s="28">
        <f t="shared" si="202"/>
        <v>45275</v>
      </c>
      <c r="AK171" s="24">
        <f t="shared" si="203"/>
        <v>0</v>
      </c>
      <c r="AL171" s="25">
        <f t="shared" si="204"/>
        <v>0</v>
      </c>
      <c r="AM171" s="29">
        <f t="shared" si="205"/>
        <v>0</v>
      </c>
      <c r="AN171" s="28">
        <f t="shared" si="206"/>
        <v>45275</v>
      </c>
      <c r="AO171" s="373">
        <f t="shared" si="175"/>
        <v>0</v>
      </c>
      <c r="AP171" s="374">
        <f t="shared" si="176"/>
        <v>0</v>
      </c>
      <c r="AQ171" s="27">
        <f t="shared" si="177"/>
        <v>0</v>
      </c>
      <c r="AR171" s="25">
        <f t="shared" si="178"/>
        <v>0</v>
      </c>
      <c r="AS171" s="25">
        <f t="shared" si="179"/>
        <v>0</v>
      </c>
      <c r="AT171" s="25">
        <f t="shared" si="180"/>
        <v>0</v>
      </c>
      <c r="AU171" s="29">
        <f t="shared" si="238"/>
        <v>0</v>
      </c>
      <c r="AV171" s="27">
        <f t="shared" si="207"/>
        <v>0</v>
      </c>
      <c r="AW171" s="27">
        <f t="shared" si="208"/>
        <v>0</v>
      </c>
      <c r="AX171" s="27">
        <f t="shared" si="209"/>
        <v>0</v>
      </c>
      <c r="AY171" s="27">
        <f t="shared" si="210"/>
        <v>0</v>
      </c>
      <c r="BH171" s="2">
        <f t="shared" si="211"/>
        <v>0</v>
      </c>
      <c r="BI171" s="298" t="str">
        <f t="shared" si="212"/>
        <v/>
      </c>
      <c r="BJ171" s="298" t="str">
        <f t="shared" si="181"/>
        <v/>
      </c>
      <c r="BQ171" s="4">
        <f t="shared" si="213"/>
        <v>45275</v>
      </c>
      <c r="BR171" s="112">
        <f t="shared" si="214"/>
        <v>0</v>
      </c>
      <c r="BS171" s="112">
        <f t="shared" si="215"/>
        <v>0</v>
      </c>
      <c r="BT171" s="112">
        <f t="shared" si="216"/>
        <v>0</v>
      </c>
      <c r="BU171" s="112">
        <f t="shared" si="217"/>
        <v>0</v>
      </c>
      <c r="BV171" s="112">
        <f t="shared" si="218"/>
        <v>0</v>
      </c>
      <c r="CI171" s="4">
        <f t="shared" si="219"/>
        <v>45275</v>
      </c>
      <c r="CJ171" s="50">
        <f ca="1">IF($BH171=0,IF($CO171="",CJ170+R171,IF('283'!$K$251=1,VLOOKUP($CO171,PerStBal,2)+R171,IF('283'!$K$253=1,(VLOOKUP($CO171,PerPortion,2)*VLOOKUP($CO171,PerStBal,6))+R171,GL!BS171))),0)</f>
        <v>0</v>
      </c>
      <c r="CK171" s="425">
        <f ca="1">IF($BH171=0,IF($CO171="",CK170+T171,IF('283'!$K$251=1,IF(mname2&lt;&gt;"",VLOOKUP($CO171,PerStBal,3)+T171,0),IF('283'!$K$253=1,(VLOOKUP($CO171,PerPortion,3)*VLOOKUP($CO171,PerStBal,6))+T171,GL!BT171))),0)</f>
        <v>0</v>
      </c>
      <c r="CL171" s="425">
        <f ca="1">IF($BH171=0,IF($CO171="",CL170+V171,IF('283'!$K$251=1,IF(mname3&lt;&gt;"",VLOOKUP($CO171,PerStBal,4)+V171,0),IF('283'!$K$253=1,(VLOOKUP($CO171,PerPortion,4)*VLOOKUP($CO171,PerStBal,6))+V171,GL!BU171))),0)</f>
        <v>0</v>
      </c>
      <c r="CM171" s="425">
        <f ca="1">IF($BH171=0,IF($CO171="",CM170+X171,IF('283'!$K$251=1,IF(mname4&lt;&gt;"",VLOOKUP($CO171,PerStBal,5)+X171,0),IF('283'!$K$253=1,(VLOOKUP($CO171,PerPortion,5)*VLOOKUP($CO171,PerStBal,6))+X171,GL!BV171))),0)</f>
        <v>0</v>
      </c>
      <c r="CN171" s="50">
        <f t="shared" ca="1" si="220"/>
        <v>0</v>
      </c>
      <c r="CO171" s="4" t="str">
        <f t="shared" ca="1" si="221"/>
        <v/>
      </c>
      <c r="CP171" s="377">
        <f t="shared" si="182"/>
        <v>0</v>
      </c>
      <c r="DI171" s="4">
        <f t="shared" si="222"/>
        <v>45275</v>
      </c>
      <c r="DJ171" s="112">
        <f t="shared" ca="1" si="223"/>
        <v>0</v>
      </c>
      <c r="DK171" s="112">
        <f t="shared" si="224"/>
        <v>0</v>
      </c>
      <c r="DL171" s="4">
        <f t="shared" si="225"/>
        <v>45275</v>
      </c>
      <c r="DM171" s="112">
        <f t="shared" ca="1" si="226"/>
        <v>0</v>
      </c>
      <c r="DN171" s="112">
        <f t="shared" si="227"/>
        <v>0</v>
      </c>
      <c r="DO171" s="4">
        <f t="shared" si="228"/>
        <v>45275</v>
      </c>
      <c r="DP171" s="112">
        <f t="shared" ca="1" si="229"/>
        <v>0</v>
      </c>
      <c r="DQ171" s="112">
        <f t="shared" si="230"/>
        <v>0</v>
      </c>
      <c r="DR171" s="4">
        <f t="shared" si="231"/>
        <v>45275</v>
      </c>
      <c r="DS171" s="112">
        <f t="shared" ca="1" si="232"/>
        <v>0</v>
      </c>
      <c r="DT171" s="112">
        <f t="shared" si="233"/>
        <v>0</v>
      </c>
      <c r="DU171" s="4">
        <f t="shared" si="234"/>
        <v>45275</v>
      </c>
      <c r="DV171" s="112">
        <f t="shared" si="235"/>
        <v>0</v>
      </c>
      <c r="DW171" s="112">
        <f t="shared" si="236"/>
        <v>0</v>
      </c>
    </row>
    <row r="172" spans="2:127" x14ac:dyDescent="0.25">
      <c r="B172" s="74">
        <f t="shared" si="245"/>
        <v>183</v>
      </c>
      <c r="C172" s="84">
        <f t="shared" si="246"/>
        <v>0</v>
      </c>
      <c r="D172" s="84">
        <f t="shared" si="246"/>
        <v>0</v>
      </c>
      <c r="E172" s="84">
        <f t="shared" si="246"/>
        <v>0</v>
      </c>
      <c r="F172" s="84">
        <f t="shared" si="246"/>
        <v>0</v>
      </c>
      <c r="H172" s="75">
        <f t="shared" si="239"/>
        <v>183</v>
      </c>
      <c r="I172" s="77">
        <f t="shared" si="240"/>
        <v>0</v>
      </c>
      <c r="J172" s="77">
        <f t="shared" si="241"/>
        <v>0</v>
      </c>
      <c r="K172" s="77">
        <f t="shared" si="242"/>
        <v>0</v>
      </c>
      <c r="L172" s="77">
        <f t="shared" si="243"/>
        <v>0</v>
      </c>
      <c r="M172" s="77">
        <f t="shared" si="244"/>
        <v>0</v>
      </c>
      <c r="Q172" s="4">
        <f t="shared" si="183"/>
        <v>45276</v>
      </c>
      <c r="R172" s="24">
        <f t="shared" si="184"/>
        <v>0</v>
      </c>
      <c r="S172" s="25">
        <f t="shared" si="185"/>
        <v>0</v>
      </c>
      <c r="T172" s="24">
        <f t="shared" si="186"/>
        <v>0</v>
      </c>
      <c r="U172" s="25">
        <f t="shared" si="187"/>
        <v>0</v>
      </c>
      <c r="V172" s="24">
        <f t="shared" si="188"/>
        <v>0</v>
      </c>
      <c r="W172" s="25">
        <f t="shared" si="189"/>
        <v>0</v>
      </c>
      <c r="X172" s="24">
        <f t="shared" si="190"/>
        <v>0</v>
      </c>
      <c r="Y172" s="26">
        <f t="shared" si="191"/>
        <v>0</v>
      </c>
      <c r="Z172" s="27">
        <f t="shared" si="192"/>
        <v>0</v>
      </c>
      <c r="AA172" s="28">
        <f t="shared" si="193"/>
        <v>45276</v>
      </c>
      <c r="AB172" s="24">
        <f t="shared" si="194"/>
        <v>0</v>
      </c>
      <c r="AC172" s="25">
        <f t="shared" si="195"/>
        <v>0</v>
      </c>
      <c r="AD172" s="28">
        <f t="shared" si="196"/>
        <v>45276</v>
      </c>
      <c r="AE172" s="24">
        <f t="shared" si="197"/>
        <v>0</v>
      </c>
      <c r="AF172" s="25">
        <f t="shared" si="198"/>
        <v>0</v>
      </c>
      <c r="AG172" s="28">
        <f t="shared" si="199"/>
        <v>45276</v>
      </c>
      <c r="AH172" s="24">
        <f t="shared" si="200"/>
        <v>0</v>
      </c>
      <c r="AI172" s="25">
        <f t="shared" si="201"/>
        <v>0</v>
      </c>
      <c r="AJ172" s="28">
        <f t="shared" si="202"/>
        <v>45276</v>
      </c>
      <c r="AK172" s="24">
        <f t="shared" si="203"/>
        <v>0</v>
      </c>
      <c r="AL172" s="25">
        <f t="shared" si="204"/>
        <v>0</v>
      </c>
      <c r="AM172" s="29">
        <f t="shared" si="205"/>
        <v>0</v>
      </c>
      <c r="AN172" s="28">
        <f t="shared" si="206"/>
        <v>45276</v>
      </c>
      <c r="AO172" s="373">
        <f t="shared" si="175"/>
        <v>0</v>
      </c>
      <c r="AP172" s="374">
        <f t="shared" si="176"/>
        <v>0</v>
      </c>
      <c r="AQ172" s="27">
        <f t="shared" si="177"/>
        <v>0</v>
      </c>
      <c r="AR172" s="25">
        <f t="shared" si="178"/>
        <v>0</v>
      </c>
      <c r="AS172" s="25">
        <f t="shared" si="179"/>
        <v>0</v>
      </c>
      <c r="AT172" s="25">
        <f t="shared" si="180"/>
        <v>0</v>
      </c>
      <c r="AU172" s="29">
        <f t="shared" si="238"/>
        <v>0</v>
      </c>
      <c r="AV172" s="27">
        <f t="shared" si="207"/>
        <v>0</v>
      </c>
      <c r="AW172" s="27">
        <f t="shared" si="208"/>
        <v>0</v>
      </c>
      <c r="AX172" s="27">
        <f t="shared" si="209"/>
        <v>0</v>
      </c>
      <c r="AY172" s="27">
        <f t="shared" si="210"/>
        <v>0</v>
      </c>
      <c r="BH172" s="2">
        <f t="shared" si="211"/>
        <v>0</v>
      </c>
      <c r="BI172" s="298" t="str">
        <f t="shared" si="212"/>
        <v/>
      </c>
      <c r="BJ172" s="298" t="str">
        <f t="shared" si="181"/>
        <v/>
      </c>
      <c r="BQ172" s="4">
        <f t="shared" si="213"/>
        <v>45276</v>
      </c>
      <c r="BR172" s="112">
        <f t="shared" si="214"/>
        <v>0</v>
      </c>
      <c r="BS172" s="112">
        <f t="shared" si="215"/>
        <v>0</v>
      </c>
      <c r="BT172" s="112">
        <f t="shared" si="216"/>
        <v>0</v>
      </c>
      <c r="BU172" s="112">
        <f t="shared" si="217"/>
        <v>0</v>
      </c>
      <c r="BV172" s="112">
        <f t="shared" si="218"/>
        <v>0</v>
      </c>
      <c r="CI172" s="4">
        <f t="shared" si="219"/>
        <v>45276</v>
      </c>
      <c r="CJ172" s="50">
        <f ca="1">IF($BH172=0,IF($CO172="",CJ171+R172,IF('283'!$K$251=1,VLOOKUP($CO172,PerStBal,2)+R172,IF('283'!$K$253=1,(VLOOKUP($CO172,PerPortion,2)*VLOOKUP($CO172,PerStBal,6))+R172,GL!BS172))),0)</f>
        <v>0</v>
      </c>
      <c r="CK172" s="425">
        <f ca="1">IF($BH172=0,IF($CO172="",CK171+T172,IF('283'!$K$251=1,IF(mname2&lt;&gt;"",VLOOKUP($CO172,PerStBal,3)+T172,0),IF('283'!$K$253=1,(VLOOKUP($CO172,PerPortion,3)*VLOOKUP($CO172,PerStBal,6))+T172,GL!BT172))),0)</f>
        <v>0</v>
      </c>
      <c r="CL172" s="425">
        <f ca="1">IF($BH172=0,IF($CO172="",CL171+V172,IF('283'!$K$251=1,IF(mname3&lt;&gt;"",VLOOKUP($CO172,PerStBal,4)+V172,0),IF('283'!$K$253=1,(VLOOKUP($CO172,PerPortion,4)*VLOOKUP($CO172,PerStBal,6))+V172,GL!BU172))),0)</f>
        <v>0</v>
      </c>
      <c r="CM172" s="425">
        <f ca="1">IF($BH172=0,IF($CO172="",CM171+X172,IF('283'!$K$251=1,IF(mname4&lt;&gt;"",VLOOKUP($CO172,PerStBal,5)+X172,0),IF('283'!$K$253=1,(VLOOKUP($CO172,PerPortion,5)*VLOOKUP($CO172,PerStBal,6))+X172,GL!BV172))),0)</f>
        <v>0</v>
      </c>
      <c r="CN172" s="50">
        <f t="shared" ca="1" si="220"/>
        <v>0</v>
      </c>
      <c r="CO172" s="4" t="str">
        <f t="shared" ca="1" si="221"/>
        <v/>
      </c>
      <c r="CP172" s="377">
        <f t="shared" si="182"/>
        <v>0</v>
      </c>
      <c r="DI172" s="4">
        <f t="shared" si="222"/>
        <v>45276</v>
      </c>
      <c r="DJ172" s="112">
        <f t="shared" ca="1" si="223"/>
        <v>0</v>
      </c>
      <c r="DK172" s="112">
        <f t="shared" si="224"/>
        <v>0</v>
      </c>
      <c r="DL172" s="4">
        <f t="shared" si="225"/>
        <v>45276</v>
      </c>
      <c r="DM172" s="112">
        <f t="shared" ca="1" si="226"/>
        <v>0</v>
      </c>
      <c r="DN172" s="112">
        <f t="shared" si="227"/>
        <v>0</v>
      </c>
      <c r="DO172" s="4">
        <f t="shared" si="228"/>
        <v>45276</v>
      </c>
      <c r="DP172" s="112">
        <f t="shared" ca="1" si="229"/>
        <v>0</v>
      </c>
      <c r="DQ172" s="112">
        <f t="shared" si="230"/>
        <v>0</v>
      </c>
      <c r="DR172" s="4">
        <f t="shared" si="231"/>
        <v>45276</v>
      </c>
      <c r="DS172" s="112">
        <f t="shared" ca="1" si="232"/>
        <v>0</v>
      </c>
      <c r="DT172" s="112">
        <f t="shared" si="233"/>
        <v>0</v>
      </c>
      <c r="DU172" s="4">
        <f t="shared" si="234"/>
        <v>45276</v>
      </c>
      <c r="DV172" s="112">
        <f t="shared" si="235"/>
        <v>0</v>
      </c>
      <c r="DW172" s="112">
        <f t="shared" si="236"/>
        <v>0</v>
      </c>
    </row>
    <row r="173" spans="2:127" x14ac:dyDescent="0.25">
      <c r="B173" s="74">
        <f t="shared" si="245"/>
        <v>183</v>
      </c>
      <c r="C173" s="84">
        <f t="shared" si="246"/>
        <v>0</v>
      </c>
      <c r="D173" s="84">
        <f t="shared" si="246"/>
        <v>0</v>
      </c>
      <c r="E173" s="84">
        <f t="shared" si="246"/>
        <v>0</v>
      </c>
      <c r="F173" s="84">
        <f t="shared" si="246"/>
        <v>0</v>
      </c>
      <c r="H173" s="75">
        <f t="shared" si="239"/>
        <v>183</v>
      </c>
      <c r="I173" s="77">
        <f t="shared" si="240"/>
        <v>0</v>
      </c>
      <c r="J173" s="77">
        <f t="shared" si="241"/>
        <v>0</v>
      </c>
      <c r="K173" s="77">
        <f t="shared" si="242"/>
        <v>0</v>
      </c>
      <c r="L173" s="77">
        <f t="shared" si="243"/>
        <v>0</v>
      </c>
      <c r="M173" s="77">
        <f t="shared" si="244"/>
        <v>0</v>
      </c>
      <c r="Q173" s="4">
        <f t="shared" si="183"/>
        <v>45277</v>
      </c>
      <c r="R173" s="24">
        <f t="shared" si="184"/>
        <v>0</v>
      </c>
      <c r="S173" s="25">
        <f t="shared" si="185"/>
        <v>0</v>
      </c>
      <c r="T173" s="24">
        <f t="shared" si="186"/>
        <v>0</v>
      </c>
      <c r="U173" s="25">
        <f t="shared" si="187"/>
        <v>0</v>
      </c>
      <c r="V173" s="24">
        <f t="shared" si="188"/>
        <v>0</v>
      </c>
      <c r="W173" s="25">
        <f t="shared" si="189"/>
        <v>0</v>
      </c>
      <c r="X173" s="24">
        <f t="shared" si="190"/>
        <v>0</v>
      </c>
      <c r="Y173" s="26">
        <f t="shared" si="191"/>
        <v>0</v>
      </c>
      <c r="Z173" s="27">
        <f t="shared" si="192"/>
        <v>0</v>
      </c>
      <c r="AA173" s="28">
        <f t="shared" si="193"/>
        <v>45277</v>
      </c>
      <c r="AB173" s="24">
        <f t="shared" si="194"/>
        <v>0</v>
      </c>
      <c r="AC173" s="25">
        <f t="shared" si="195"/>
        <v>0</v>
      </c>
      <c r="AD173" s="28">
        <f t="shared" si="196"/>
        <v>45277</v>
      </c>
      <c r="AE173" s="24">
        <f t="shared" si="197"/>
        <v>0</v>
      </c>
      <c r="AF173" s="25">
        <f t="shared" si="198"/>
        <v>0</v>
      </c>
      <c r="AG173" s="28">
        <f t="shared" si="199"/>
        <v>45277</v>
      </c>
      <c r="AH173" s="24">
        <f t="shared" si="200"/>
        <v>0</v>
      </c>
      <c r="AI173" s="25">
        <f t="shared" si="201"/>
        <v>0</v>
      </c>
      <c r="AJ173" s="28">
        <f t="shared" si="202"/>
        <v>45277</v>
      </c>
      <c r="AK173" s="24">
        <f t="shared" si="203"/>
        <v>0</v>
      </c>
      <c r="AL173" s="25">
        <f t="shared" si="204"/>
        <v>0</v>
      </c>
      <c r="AM173" s="29">
        <f t="shared" si="205"/>
        <v>0</v>
      </c>
      <c r="AN173" s="28">
        <f t="shared" si="206"/>
        <v>45277</v>
      </c>
      <c r="AO173" s="373">
        <f t="shared" si="175"/>
        <v>0</v>
      </c>
      <c r="AP173" s="374">
        <f t="shared" si="176"/>
        <v>0</v>
      </c>
      <c r="AQ173" s="27">
        <f t="shared" si="177"/>
        <v>0</v>
      </c>
      <c r="AR173" s="25">
        <f t="shared" si="178"/>
        <v>0</v>
      </c>
      <c r="AS173" s="25">
        <f t="shared" si="179"/>
        <v>0</v>
      </c>
      <c r="AT173" s="25">
        <f t="shared" si="180"/>
        <v>0</v>
      </c>
      <c r="AU173" s="29">
        <f t="shared" si="238"/>
        <v>0</v>
      </c>
      <c r="AV173" s="27">
        <f t="shared" si="207"/>
        <v>0</v>
      </c>
      <c r="AW173" s="27">
        <f t="shared" si="208"/>
        <v>0</v>
      </c>
      <c r="AX173" s="27">
        <f t="shared" si="209"/>
        <v>0</v>
      </c>
      <c r="AY173" s="27">
        <f t="shared" si="210"/>
        <v>0</v>
      </c>
      <c r="BH173" s="2">
        <f t="shared" si="211"/>
        <v>0</v>
      </c>
      <c r="BI173" s="298" t="str">
        <f t="shared" si="212"/>
        <v/>
      </c>
      <c r="BJ173" s="298" t="str">
        <f t="shared" si="181"/>
        <v/>
      </c>
      <c r="BQ173" s="4">
        <f t="shared" si="213"/>
        <v>45277</v>
      </c>
      <c r="BR173" s="112">
        <f t="shared" si="214"/>
        <v>0</v>
      </c>
      <c r="BS173" s="112">
        <f t="shared" si="215"/>
        <v>0</v>
      </c>
      <c r="BT173" s="112">
        <f t="shared" si="216"/>
        <v>0</v>
      </c>
      <c r="BU173" s="112">
        <f t="shared" si="217"/>
        <v>0</v>
      </c>
      <c r="BV173" s="112">
        <f t="shared" si="218"/>
        <v>0</v>
      </c>
      <c r="CI173" s="4">
        <f t="shared" si="219"/>
        <v>45277</v>
      </c>
      <c r="CJ173" s="50">
        <f ca="1">IF($BH173=0,IF($CO173="",CJ172+R173,IF('283'!$K$251=1,VLOOKUP($CO173,PerStBal,2)+R173,IF('283'!$K$253=1,(VLOOKUP($CO173,PerPortion,2)*VLOOKUP($CO173,PerStBal,6))+R173,GL!BS173))),0)</f>
        <v>0</v>
      </c>
      <c r="CK173" s="425">
        <f ca="1">IF($BH173=0,IF($CO173="",CK172+T173,IF('283'!$K$251=1,IF(mname2&lt;&gt;"",VLOOKUP($CO173,PerStBal,3)+T173,0),IF('283'!$K$253=1,(VLOOKUP($CO173,PerPortion,3)*VLOOKUP($CO173,PerStBal,6))+T173,GL!BT173))),0)</f>
        <v>0</v>
      </c>
      <c r="CL173" s="425">
        <f ca="1">IF($BH173=0,IF($CO173="",CL172+V173,IF('283'!$K$251=1,IF(mname3&lt;&gt;"",VLOOKUP($CO173,PerStBal,4)+V173,0),IF('283'!$K$253=1,(VLOOKUP($CO173,PerPortion,4)*VLOOKUP($CO173,PerStBal,6))+V173,GL!BU173))),0)</f>
        <v>0</v>
      </c>
      <c r="CM173" s="425">
        <f ca="1">IF($BH173=0,IF($CO173="",CM172+X173,IF('283'!$K$251=1,IF(mname4&lt;&gt;"",VLOOKUP($CO173,PerStBal,5)+X173,0),IF('283'!$K$253=1,(VLOOKUP($CO173,PerPortion,5)*VLOOKUP($CO173,PerStBal,6))+X173,GL!BV173))),0)</f>
        <v>0</v>
      </c>
      <c r="CN173" s="50">
        <f t="shared" ca="1" si="220"/>
        <v>0</v>
      </c>
      <c r="CO173" s="4" t="str">
        <f t="shared" ca="1" si="221"/>
        <v/>
      </c>
      <c r="CP173" s="377">
        <f t="shared" si="182"/>
        <v>0</v>
      </c>
      <c r="DI173" s="4">
        <f t="shared" si="222"/>
        <v>45277</v>
      </c>
      <c r="DJ173" s="112">
        <f t="shared" ca="1" si="223"/>
        <v>0</v>
      </c>
      <c r="DK173" s="112">
        <f t="shared" si="224"/>
        <v>0</v>
      </c>
      <c r="DL173" s="4">
        <f t="shared" si="225"/>
        <v>45277</v>
      </c>
      <c r="DM173" s="112">
        <f t="shared" ca="1" si="226"/>
        <v>0</v>
      </c>
      <c r="DN173" s="112">
        <f t="shared" si="227"/>
        <v>0</v>
      </c>
      <c r="DO173" s="4">
        <f t="shared" si="228"/>
        <v>45277</v>
      </c>
      <c r="DP173" s="112">
        <f t="shared" ca="1" si="229"/>
        <v>0</v>
      </c>
      <c r="DQ173" s="112">
        <f t="shared" si="230"/>
        <v>0</v>
      </c>
      <c r="DR173" s="4">
        <f t="shared" si="231"/>
        <v>45277</v>
      </c>
      <c r="DS173" s="112">
        <f t="shared" ca="1" si="232"/>
        <v>0</v>
      </c>
      <c r="DT173" s="112">
        <f t="shared" si="233"/>
        <v>0</v>
      </c>
      <c r="DU173" s="4">
        <f t="shared" si="234"/>
        <v>45277</v>
      </c>
      <c r="DV173" s="112">
        <f t="shared" si="235"/>
        <v>0</v>
      </c>
      <c r="DW173" s="112">
        <f t="shared" si="236"/>
        <v>0</v>
      </c>
    </row>
    <row r="174" spans="2:127" x14ac:dyDescent="0.25">
      <c r="B174" s="74">
        <f t="shared" si="245"/>
        <v>183</v>
      </c>
      <c r="C174" s="84">
        <f t="shared" ref="C174:F193" si="247">IF(AND($C65&lt;&gt;"",D65&lt;&gt;""),(YearEnd-$C65)/DaysInYear*-D65,0)</f>
        <v>0</v>
      </c>
      <c r="D174" s="84">
        <f t="shared" si="247"/>
        <v>0</v>
      </c>
      <c r="E174" s="84">
        <f t="shared" si="247"/>
        <v>0</v>
      </c>
      <c r="F174" s="84">
        <f t="shared" si="247"/>
        <v>0</v>
      </c>
      <c r="H174" s="75">
        <f t="shared" si="239"/>
        <v>183</v>
      </c>
      <c r="I174" s="77">
        <f t="shared" si="240"/>
        <v>0</v>
      </c>
      <c r="J174" s="77">
        <f t="shared" si="241"/>
        <v>0</v>
      </c>
      <c r="K174" s="77">
        <f t="shared" si="242"/>
        <v>0</v>
      </c>
      <c r="L174" s="77">
        <f t="shared" si="243"/>
        <v>0</v>
      </c>
      <c r="M174" s="77">
        <f t="shared" si="244"/>
        <v>0</v>
      </c>
      <c r="Q174" s="4">
        <f t="shared" si="183"/>
        <v>45278</v>
      </c>
      <c r="R174" s="24">
        <f t="shared" si="184"/>
        <v>0</v>
      </c>
      <c r="S174" s="25">
        <f t="shared" si="185"/>
        <v>0</v>
      </c>
      <c r="T174" s="24">
        <f t="shared" si="186"/>
        <v>0</v>
      </c>
      <c r="U174" s="25">
        <f t="shared" si="187"/>
        <v>0</v>
      </c>
      <c r="V174" s="24">
        <f t="shared" si="188"/>
        <v>0</v>
      </c>
      <c r="W174" s="25">
        <f t="shared" si="189"/>
        <v>0</v>
      </c>
      <c r="X174" s="24">
        <f t="shared" si="190"/>
        <v>0</v>
      </c>
      <c r="Y174" s="26">
        <f t="shared" si="191"/>
        <v>0</v>
      </c>
      <c r="Z174" s="27">
        <f t="shared" si="192"/>
        <v>0</v>
      </c>
      <c r="AA174" s="28">
        <f t="shared" si="193"/>
        <v>45278</v>
      </c>
      <c r="AB174" s="24">
        <f t="shared" si="194"/>
        <v>0</v>
      </c>
      <c r="AC174" s="25">
        <f t="shared" si="195"/>
        <v>0</v>
      </c>
      <c r="AD174" s="28">
        <f t="shared" si="196"/>
        <v>45278</v>
      </c>
      <c r="AE174" s="24">
        <f t="shared" si="197"/>
        <v>0</v>
      </c>
      <c r="AF174" s="25">
        <f t="shared" si="198"/>
        <v>0</v>
      </c>
      <c r="AG174" s="28">
        <f t="shared" si="199"/>
        <v>45278</v>
      </c>
      <c r="AH174" s="24">
        <f t="shared" si="200"/>
        <v>0</v>
      </c>
      <c r="AI174" s="25">
        <f t="shared" si="201"/>
        <v>0</v>
      </c>
      <c r="AJ174" s="28">
        <f t="shared" si="202"/>
        <v>45278</v>
      </c>
      <c r="AK174" s="24">
        <f t="shared" si="203"/>
        <v>0</v>
      </c>
      <c r="AL174" s="25">
        <f t="shared" si="204"/>
        <v>0</v>
      </c>
      <c r="AM174" s="29">
        <f t="shared" si="205"/>
        <v>0</v>
      </c>
      <c r="AN174" s="28">
        <f t="shared" si="206"/>
        <v>45278</v>
      </c>
      <c r="AO174" s="373">
        <f t="shared" si="175"/>
        <v>0</v>
      </c>
      <c r="AP174" s="374">
        <f t="shared" si="176"/>
        <v>0</v>
      </c>
      <c r="AQ174" s="27">
        <f t="shared" si="177"/>
        <v>0</v>
      </c>
      <c r="AR174" s="25">
        <f t="shared" si="178"/>
        <v>0</v>
      </c>
      <c r="AS174" s="25">
        <f t="shared" si="179"/>
        <v>0</v>
      </c>
      <c r="AT174" s="25">
        <f t="shared" si="180"/>
        <v>0</v>
      </c>
      <c r="AU174" s="29">
        <f t="shared" si="238"/>
        <v>0</v>
      </c>
      <c r="AV174" s="27">
        <f t="shared" si="207"/>
        <v>0</v>
      </c>
      <c r="AW174" s="27">
        <f t="shared" si="208"/>
        <v>0</v>
      </c>
      <c r="AX174" s="27">
        <f t="shared" si="209"/>
        <v>0</v>
      </c>
      <c r="AY174" s="27">
        <f t="shared" si="210"/>
        <v>0</v>
      </c>
      <c r="BH174" s="2">
        <f t="shared" si="211"/>
        <v>0</v>
      </c>
      <c r="BI174" s="298" t="str">
        <f t="shared" si="212"/>
        <v/>
      </c>
      <c r="BJ174" s="298" t="str">
        <f t="shared" si="181"/>
        <v/>
      </c>
      <c r="BQ174" s="4">
        <f t="shared" si="213"/>
        <v>45278</v>
      </c>
      <c r="BR174" s="112">
        <f t="shared" si="214"/>
        <v>0</v>
      </c>
      <c r="BS174" s="112">
        <f t="shared" si="215"/>
        <v>0</v>
      </c>
      <c r="BT174" s="112">
        <f t="shared" si="216"/>
        <v>0</v>
      </c>
      <c r="BU174" s="112">
        <f t="shared" si="217"/>
        <v>0</v>
      </c>
      <c r="BV174" s="112">
        <f t="shared" si="218"/>
        <v>0</v>
      </c>
      <c r="CI174" s="4">
        <f t="shared" si="219"/>
        <v>45278</v>
      </c>
      <c r="CJ174" s="50">
        <f ca="1">IF($BH174=0,IF($CO174="",CJ173+R174,IF('283'!$K$251=1,VLOOKUP($CO174,PerStBal,2)+R174,IF('283'!$K$253=1,(VLOOKUP($CO174,PerPortion,2)*VLOOKUP($CO174,PerStBal,6))+R174,GL!BS174))),0)</f>
        <v>0</v>
      </c>
      <c r="CK174" s="425">
        <f ca="1">IF($BH174=0,IF($CO174="",CK173+T174,IF('283'!$K$251=1,IF(mname2&lt;&gt;"",VLOOKUP($CO174,PerStBal,3)+T174,0),IF('283'!$K$253=1,(VLOOKUP($CO174,PerPortion,3)*VLOOKUP($CO174,PerStBal,6))+T174,GL!BT174))),0)</f>
        <v>0</v>
      </c>
      <c r="CL174" s="425">
        <f ca="1">IF($BH174=0,IF($CO174="",CL173+V174,IF('283'!$K$251=1,IF(mname3&lt;&gt;"",VLOOKUP($CO174,PerStBal,4)+V174,0),IF('283'!$K$253=1,(VLOOKUP($CO174,PerPortion,4)*VLOOKUP($CO174,PerStBal,6))+V174,GL!BU174))),0)</f>
        <v>0</v>
      </c>
      <c r="CM174" s="425">
        <f ca="1">IF($BH174=0,IF($CO174="",CM173+X174,IF('283'!$K$251=1,IF(mname4&lt;&gt;"",VLOOKUP($CO174,PerStBal,5)+X174,0),IF('283'!$K$253=1,(VLOOKUP($CO174,PerPortion,5)*VLOOKUP($CO174,PerStBal,6))+X174,GL!BV174))),0)</f>
        <v>0</v>
      </c>
      <c r="CN174" s="50">
        <f t="shared" ca="1" si="220"/>
        <v>0</v>
      </c>
      <c r="CO174" s="4" t="str">
        <f t="shared" ca="1" si="221"/>
        <v/>
      </c>
      <c r="CP174" s="377">
        <f t="shared" si="182"/>
        <v>0</v>
      </c>
      <c r="DI174" s="4">
        <f t="shared" si="222"/>
        <v>45278</v>
      </c>
      <c r="DJ174" s="112">
        <f t="shared" ca="1" si="223"/>
        <v>0</v>
      </c>
      <c r="DK174" s="112">
        <f t="shared" si="224"/>
        <v>0</v>
      </c>
      <c r="DL174" s="4">
        <f t="shared" si="225"/>
        <v>45278</v>
      </c>
      <c r="DM174" s="112">
        <f t="shared" ca="1" si="226"/>
        <v>0</v>
      </c>
      <c r="DN174" s="112">
        <f t="shared" si="227"/>
        <v>0</v>
      </c>
      <c r="DO174" s="4">
        <f t="shared" si="228"/>
        <v>45278</v>
      </c>
      <c r="DP174" s="112">
        <f t="shared" ca="1" si="229"/>
        <v>0</v>
      </c>
      <c r="DQ174" s="112">
        <f t="shared" si="230"/>
        <v>0</v>
      </c>
      <c r="DR174" s="4">
        <f t="shared" si="231"/>
        <v>45278</v>
      </c>
      <c r="DS174" s="112">
        <f t="shared" ca="1" si="232"/>
        <v>0</v>
      </c>
      <c r="DT174" s="112">
        <f t="shared" si="233"/>
        <v>0</v>
      </c>
      <c r="DU174" s="4">
        <f t="shared" si="234"/>
        <v>45278</v>
      </c>
      <c r="DV174" s="112">
        <f t="shared" si="235"/>
        <v>0</v>
      </c>
      <c r="DW174" s="112">
        <f t="shared" si="236"/>
        <v>0</v>
      </c>
    </row>
    <row r="175" spans="2:127" x14ac:dyDescent="0.25">
      <c r="B175" s="74">
        <f t="shared" si="245"/>
        <v>183</v>
      </c>
      <c r="C175" s="84">
        <f t="shared" si="247"/>
        <v>0</v>
      </c>
      <c r="D175" s="84">
        <f t="shared" si="247"/>
        <v>0</v>
      </c>
      <c r="E175" s="84">
        <f t="shared" si="247"/>
        <v>0</v>
      </c>
      <c r="F175" s="84">
        <f t="shared" si="247"/>
        <v>0</v>
      </c>
      <c r="H175" s="75">
        <f t="shared" si="239"/>
        <v>183</v>
      </c>
      <c r="I175" s="77">
        <f t="shared" si="240"/>
        <v>0</v>
      </c>
      <c r="J175" s="77">
        <f t="shared" si="241"/>
        <v>0</v>
      </c>
      <c r="K175" s="77">
        <f t="shared" si="242"/>
        <v>0</v>
      </c>
      <c r="L175" s="77">
        <f t="shared" si="243"/>
        <v>0</v>
      </c>
      <c r="M175" s="77">
        <f t="shared" si="244"/>
        <v>0</v>
      </c>
      <c r="Q175" s="4">
        <f t="shared" si="183"/>
        <v>45279</v>
      </c>
      <c r="R175" s="24">
        <f t="shared" si="184"/>
        <v>0</v>
      </c>
      <c r="S175" s="25">
        <f t="shared" si="185"/>
        <v>0</v>
      </c>
      <c r="T175" s="24">
        <f t="shared" si="186"/>
        <v>0</v>
      </c>
      <c r="U175" s="25">
        <f t="shared" si="187"/>
        <v>0</v>
      </c>
      <c r="V175" s="24">
        <f t="shared" si="188"/>
        <v>0</v>
      </c>
      <c r="W175" s="25">
        <f t="shared" si="189"/>
        <v>0</v>
      </c>
      <c r="X175" s="24">
        <f t="shared" si="190"/>
        <v>0</v>
      </c>
      <c r="Y175" s="26">
        <f t="shared" si="191"/>
        <v>0</v>
      </c>
      <c r="Z175" s="27">
        <f t="shared" si="192"/>
        <v>0</v>
      </c>
      <c r="AA175" s="28">
        <f t="shared" si="193"/>
        <v>45279</v>
      </c>
      <c r="AB175" s="24">
        <f t="shared" si="194"/>
        <v>0</v>
      </c>
      <c r="AC175" s="25">
        <f t="shared" si="195"/>
        <v>0</v>
      </c>
      <c r="AD175" s="28">
        <f t="shared" si="196"/>
        <v>45279</v>
      </c>
      <c r="AE175" s="24">
        <f t="shared" si="197"/>
        <v>0</v>
      </c>
      <c r="AF175" s="25">
        <f t="shared" si="198"/>
        <v>0</v>
      </c>
      <c r="AG175" s="28">
        <f t="shared" si="199"/>
        <v>45279</v>
      </c>
      <c r="AH175" s="24">
        <f t="shared" si="200"/>
        <v>0</v>
      </c>
      <c r="AI175" s="25">
        <f t="shared" si="201"/>
        <v>0</v>
      </c>
      <c r="AJ175" s="28">
        <f t="shared" si="202"/>
        <v>45279</v>
      </c>
      <c r="AK175" s="24">
        <f t="shared" si="203"/>
        <v>0</v>
      </c>
      <c r="AL175" s="25">
        <f t="shared" si="204"/>
        <v>0</v>
      </c>
      <c r="AM175" s="29">
        <f t="shared" si="205"/>
        <v>0</v>
      </c>
      <c r="AN175" s="28">
        <f t="shared" si="206"/>
        <v>45279</v>
      </c>
      <c r="AO175" s="373">
        <f t="shared" si="175"/>
        <v>0</v>
      </c>
      <c r="AP175" s="374">
        <f t="shared" si="176"/>
        <v>0</v>
      </c>
      <c r="AQ175" s="27">
        <f t="shared" si="177"/>
        <v>0</v>
      </c>
      <c r="AR175" s="25">
        <f t="shared" si="178"/>
        <v>0</v>
      </c>
      <c r="AS175" s="25">
        <f t="shared" si="179"/>
        <v>0</v>
      </c>
      <c r="AT175" s="25">
        <f t="shared" si="180"/>
        <v>0</v>
      </c>
      <c r="AU175" s="29">
        <f t="shared" si="238"/>
        <v>0</v>
      </c>
      <c r="AV175" s="27">
        <f t="shared" si="207"/>
        <v>0</v>
      </c>
      <c r="AW175" s="27">
        <f t="shared" si="208"/>
        <v>0</v>
      </c>
      <c r="AX175" s="27">
        <f t="shared" si="209"/>
        <v>0</v>
      </c>
      <c r="AY175" s="27">
        <f t="shared" si="210"/>
        <v>0</v>
      </c>
      <c r="BH175" s="2">
        <f t="shared" si="211"/>
        <v>0</v>
      </c>
      <c r="BI175" s="298" t="str">
        <f t="shared" si="212"/>
        <v/>
      </c>
      <c r="BJ175" s="298" t="str">
        <f t="shared" si="181"/>
        <v/>
      </c>
      <c r="BQ175" s="4">
        <f t="shared" si="213"/>
        <v>45279</v>
      </c>
      <c r="BR175" s="112">
        <f t="shared" si="214"/>
        <v>0</v>
      </c>
      <c r="BS175" s="112">
        <f t="shared" si="215"/>
        <v>0</v>
      </c>
      <c r="BT175" s="112">
        <f t="shared" si="216"/>
        <v>0</v>
      </c>
      <c r="BU175" s="112">
        <f t="shared" si="217"/>
        <v>0</v>
      </c>
      <c r="BV175" s="112">
        <f t="shared" si="218"/>
        <v>0</v>
      </c>
      <c r="CI175" s="4">
        <f t="shared" si="219"/>
        <v>45279</v>
      </c>
      <c r="CJ175" s="50">
        <f ca="1">IF($BH175=0,IF($CO175="",CJ174+R175,IF('283'!$K$251=1,VLOOKUP($CO175,PerStBal,2)+R175,IF('283'!$K$253=1,(VLOOKUP($CO175,PerPortion,2)*VLOOKUP($CO175,PerStBal,6))+R175,GL!BS175))),0)</f>
        <v>0</v>
      </c>
      <c r="CK175" s="425">
        <f ca="1">IF($BH175=0,IF($CO175="",CK174+T175,IF('283'!$K$251=1,IF(mname2&lt;&gt;"",VLOOKUP($CO175,PerStBal,3)+T175,0),IF('283'!$K$253=1,(VLOOKUP($CO175,PerPortion,3)*VLOOKUP($CO175,PerStBal,6))+T175,GL!BT175))),0)</f>
        <v>0</v>
      </c>
      <c r="CL175" s="425">
        <f ca="1">IF($BH175=0,IF($CO175="",CL174+V175,IF('283'!$K$251=1,IF(mname3&lt;&gt;"",VLOOKUP($CO175,PerStBal,4)+V175,0),IF('283'!$K$253=1,(VLOOKUP($CO175,PerPortion,4)*VLOOKUP($CO175,PerStBal,6))+V175,GL!BU175))),0)</f>
        <v>0</v>
      </c>
      <c r="CM175" s="425">
        <f ca="1">IF($BH175=0,IF($CO175="",CM174+X175,IF('283'!$K$251=1,IF(mname4&lt;&gt;"",VLOOKUP($CO175,PerStBal,5)+X175,0),IF('283'!$K$253=1,(VLOOKUP($CO175,PerPortion,5)*VLOOKUP($CO175,PerStBal,6))+X175,GL!BV175))),0)</f>
        <v>0</v>
      </c>
      <c r="CN175" s="50">
        <f t="shared" ca="1" si="220"/>
        <v>0</v>
      </c>
      <c r="CO175" s="4" t="str">
        <f t="shared" ca="1" si="221"/>
        <v/>
      </c>
      <c r="CP175" s="377">
        <f t="shared" si="182"/>
        <v>0</v>
      </c>
      <c r="DI175" s="4">
        <f t="shared" si="222"/>
        <v>45279</v>
      </c>
      <c r="DJ175" s="112">
        <f t="shared" ca="1" si="223"/>
        <v>0</v>
      </c>
      <c r="DK175" s="112">
        <f t="shared" si="224"/>
        <v>0</v>
      </c>
      <c r="DL175" s="4">
        <f t="shared" si="225"/>
        <v>45279</v>
      </c>
      <c r="DM175" s="112">
        <f t="shared" ca="1" si="226"/>
        <v>0</v>
      </c>
      <c r="DN175" s="112">
        <f t="shared" si="227"/>
        <v>0</v>
      </c>
      <c r="DO175" s="4">
        <f t="shared" si="228"/>
        <v>45279</v>
      </c>
      <c r="DP175" s="112">
        <f t="shared" ca="1" si="229"/>
        <v>0</v>
      </c>
      <c r="DQ175" s="112">
        <f t="shared" si="230"/>
        <v>0</v>
      </c>
      <c r="DR175" s="4">
        <f t="shared" si="231"/>
        <v>45279</v>
      </c>
      <c r="DS175" s="112">
        <f t="shared" ca="1" si="232"/>
        <v>0</v>
      </c>
      <c r="DT175" s="112">
        <f t="shared" si="233"/>
        <v>0</v>
      </c>
      <c r="DU175" s="4">
        <f t="shared" si="234"/>
        <v>45279</v>
      </c>
      <c r="DV175" s="112">
        <f t="shared" si="235"/>
        <v>0</v>
      </c>
      <c r="DW175" s="112">
        <f t="shared" si="236"/>
        <v>0</v>
      </c>
    </row>
    <row r="176" spans="2:127" x14ac:dyDescent="0.25">
      <c r="B176" s="74">
        <f t="shared" si="245"/>
        <v>183</v>
      </c>
      <c r="C176" s="84">
        <f t="shared" si="247"/>
        <v>0</v>
      </c>
      <c r="D176" s="84">
        <f t="shared" si="247"/>
        <v>0</v>
      </c>
      <c r="E176" s="84">
        <f t="shared" si="247"/>
        <v>0</v>
      </c>
      <c r="F176" s="84">
        <f t="shared" si="247"/>
        <v>0</v>
      </c>
      <c r="H176" s="75">
        <f t="shared" si="239"/>
        <v>183</v>
      </c>
      <c r="I176" s="77">
        <f t="shared" si="240"/>
        <v>0</v>
      </c>
      <c r="J176" s="77">
        <f t="shared" si="241"/>
        <v>0</v>
      </c>
      <c r="K176" s="77">
        <f t="shared" si="242"/>
        <v>0</v>
      </c>
      <c r="L176" s="77">
        <f t="shared" si="243"/>
        <v>0</v>
      </c>
      <c r="M176" s="77">
        <f t="shared" si="244"/>
        <v>0</v>
      </c>
      <c r="Q176" s="4">
        <f t="shared" si="183"/>
        <v>45280</v>
      </c>
      <c r="R176" s="24">
        <f t="shared" si="184"/>
        <v>0</v>
      </c>
      <c r="S176" s="25">
        <f t="shared" si="185"/>
        <v>0</v>
      </c>
      <c r="T176" s="24">
        <f t="shared" si="186"/>
        <v>0</v>
      </c>
      <c r="U176" s="25">
        <f t="shared" si="187"/>
        <v>0</v>
      </c>
      <c r="V176" s="24">
        <f t="shared" si="188"/>
        <v>0</v>
      </c>
      <c r="W176" s="25">
        <f t="shared" si="189"/>
        <v>0</v>
      </c>
      <c r="X176" s="24">
        <f t="shared" si="190"/>
        <v>0</v>
      </c>
      <c r="Y176" s="26">
        <f t="shared" si="191"/>
        <v>0</v>
      </c>
      <c r="Z176" s="27">
        <f t="shared" si="192"/>
        <v>0</v>
      </c>
      <c r="AA176" s="28">
        <f t="shared" si="193"/>
        <v>45280</v>
      </c>
      <c r="AB176" s="24">
        <f t="shared" si="194"/>
        <v>0</v>
      </c>
      <c r="AC176" s="25">
        <f t="shared" si="195"/>
        <v>0</v>
      </c>
      <c r="AD176" s="28">
        <f t="shared" si="196"/>
        <v>45280</v>
      </c>
      <c r="AE176" s="24">
        <f t="shared" si="197"/>
        <v>0</v>
      </c>
      <c r="AF176" s="25">
        <f t="shared" si="198"/>
        <v>0</v>
      </c>
      <c r="AG176" s="28">
        <f t="shared" si="199"/>
        <v>45280</v>
      </c>
      <c r="AH176" s="24">
        <f t="shared" si="200"/>
        <v>0</v>
      </c>
      <c r="AI176" s="25">
        <f t="shared" si="201"/>
        <v>0</v>
      </c>
      <c r="AJ176" s="28">
        <f t="shared" si="202"/>
        <v>45280</v>
      </c>
      <c r="AK176" s="24">
        <f t="shared" si="203"/>
        <v>0</v>
      </c>
      <c r="AL176" s="25">
        <f t="shared" si="204"/>
        <v>0</v>
      </c>
      <c r="AM176" s="29">
        <f t="shared" si="205"/>
        <v>0</v>
      </c>
      <c r="AN176" s="28">
        <f t="shared" si="206"/>
        <v>45280</v>
      </c>
      <c r="AO176" s="373">
        <f t="shared" si="175"/>
        <v>0</v>
      </c>
      <c r="AP176" s="374">
        <f t="shared" si="176"/>
        <v>0</v>
      </c>
      <c r="AQ176" s="27">
        <f t="shared" si="177"/>
        <v>0</v>
      </c>
      <c r="AR176" s="25">
        <f t="shared" si="178"/>
        <v>0</v>
      </c>
      <c r="AS176" s="25">
        <f t="shared" si="179"/>
        <v>0</v>
      </c>
      <c r="AT176" s="25">
        <f t="shared" si="180"/>
        <v>0</v>
      </c>
      <c r="AU176" s="29">
        <f t="shared" si="238"/>
        <v>0</v>
      </c>
      <c r="AV176" s="27">
        <f t="shared" si="207"/>
        <v>0</v>
      </c>
      <c r="AW176" s="27">
        <f t="shared" si="208"/>
        <v>0</v>
      </c>
      <c r="AX176" s="27">
        <f t="shared" si="209"/>
        <v>0</v>
      </c>
      <c r="AY176" s="27">
        <f t="shared" si="210"/>
        <v>0</v>
      </c>
      <c r="BH176" s="2">
        <f t="shared" si="211"/>
        <v>0</v>
      </c>
      <c r="BI176" s="298" t="str">
        <f t="shared" si="212"/>
        <v/>
      </c>
      <c r="BJ176" s="298" t="str">
        <f t="shared" si="181"/>
        <v/>
      </c>
      <c r="BQ176" s="4">
        <f t="shared" si="213"/>
        <v>45280</v>
      </c>
      <c r="BR176" s="112">
        <f t="shared" si="214"/>
        <v>0</v>
      </c>
      <c r="BS176" s="112">
        <f t="shared" si="215"/>
        <v>0</v>
      </c>
      <c r="BT176" s="112">
        <f t="shared" si="216"/>
        <v>0</v>
      </c>
      <c r="BU176" s="112">
        <f t="shared" si="217"/>
        <v>0</v>
      </c>
      <c r="BV176" s="112">
        <f t="shared" si="218"/>
        <v>0</v>
      </c>
      <c r="CI176" s="4">
        <f t="shared" si="219"/>
        <v>45280</v>
      </c>
      <c r="CJ176" s="50">
        <f ca="1">IF($BH176=0,IF($CO176="",CJ175+R176,IF('283'!$K$251=1,VLOOKUP($CO176,PerStBal,2)+R176,IF('283'!$K$253=1,(VLOOKUP($CO176,PerPortion,2)*VLOOKUP($CO176,PerStBal,6))+R176,GL!BS176))),0)</f>
        <v>0</v>
      </c>
      <c r="CK176" s="425">
        <f ca="1">IF($BH176=0,IF($CO176="",CK175+T176,IF('283'!$K$251=1,IF(mname2&lt;&gt;"",VLOOKUP($CO176,PerStBal,3)+T176,0),IF('283'!$K$253=1,(VLOOKUP($CO176,PerPortion,3)*VLOOKUP($CO176,PerStBal,6))+T176,GL!BT176))),0)</f>
        <v>0</v>
      </c>
      <c r="CL176" s="425">
        <f ca="1">IF($BH176=0,IF($CO176="",CL175+V176,IF('283'!$K$251=1,IF(mname3&lt;&gt;"",VLOOKUP($CO176,PerStBal,4)+V176,0),IF('283'!$K$253=1,(VLOOKUP($CO176,PerPortion,4)*VLOOKUP($CO176,PerStBal,6))+V176,GL!BU176))),0)</f>
        <v>0</v>
      </c>
      <c r="CM176" s="425">
        <f ca="1">IF($BH176=0,IF($CO176="",CM175+X176,IF('283'!$K$251=1,IF(mname4&lt;&gt;"",VLOOKUP($CO176,PerStBal,5)+X176,0),IF('283'!$K$253=1,(VLOOKUP($CO176,PerPortion,5)*VLOOKUP($CO176,PerStBal,6))+X176,GL!BV176))),0)</f>
        <v>0</v>
      </c>
      <c r="CN176" s="50">
        <f t="shared" ca="1" si="220"/>
        <v>0</v>
      </c>
      <c r="CO176" s="4" t="str">
        <f t="shared" ca="1" si="221"/>
        <v/>
      </c>
      <c r="CP176" s="377">
        <f t="shared" si="182"/>
        <v>0</v>
      </c>
      <c r="DI176" s="4">
        <f t="shared" si="222"/>
        <v>45280</v>
      </c>
      <c r="DJ176" s="112">
        <f t="shared" ca="1" si="223"/>
        <v>0</v>
      </c>
      <c r="DK176" s="112">
        <f t="shared" si="224"/>
        <v>0</v>
      </c>
      <c r="DL176" s="4">
        <f t="shared" si="225"/>
        <v>45280</v>
      </c>
      <c r="DM176" s="112">
        <f t="shared" ca="1" si="226"/>
        <v>0</v>
      </c>
      <c r="DN176" s="112">
        <f t="shared" si="227"/>
        <v>0</v>
      </c>
      <c r="DO176" s="4">
        <f t="shared" si="228"/>
        <v>45280</v>
      </c>
      <c r="DP176" s="112">
        <f t="shared" ca="1" si="229"/>
        <v>0</v>
      </c>
      <c r="DQ176" s="112">
        <f t="shared" si="230"/>
        <v>0</v>
      </c>
      <c r="DR176" s="4">
        <f t="shared" si="231"/>
        <v>45280</v>
      </c>
      <c r="DS176" s="112">
        <f t="shared" ca="1" si="232"/>
        <v>0</v>
      </c>
      <c r="DT176" s="112">
        <f t="shared" si="233"/>
        <v>0</v>
      </c>
      <c r="DU176" s="4">
        <f t="shared" si="234"/>
        <v>45280</v>
      </c>
      <c r="DV176" s="112">
        <f t="shared" si="235"/>
        <v>0</v>
      </c>
      <c r="DW176" s="112">
        <f t="shared" si="236"/>
        <v>0</v>
      </c>
    </row>
    <row r="177" spans="2:127" x14ac:dyDescent="0.25">
      <c r="B177" s="74">
        <f t="shared" si="245"/>
        <v>183</v>
      </c>
      <c r="C177" s="84">
        <f t="shared" si="247"/>
        <v>0</v>
      </c>
      <c r="D177" s="84">
        <f t="shared" si="247"/>
        <v>0</v>
      </c>
      <c r="E177" s="84">
        <f t="shared" si="247"/>
        <v>0</v>
      </c>
      <c r="F177" s="84">
        <f t="shared" si="247"/>
        <v>0</v>
      </c>
      <c r="H177" s="75">
        <f t="shared" si="239"/>
        <v>183</v>
      </c>
      <c r="I177" s="77">
        <f t="shared" si="240"/>
        <v>0</v>
      </c>
      <c r="J177" s="77">
        <f t="shared" si="241"/>
        <v>0</v>
      </c>
      <c r="K177" s="77">
        <f t="shared" si="242"/>
        <v>0</v>
      </c>
      <c r="L177" s="77">
        <f t="shared" si="243"/>
        <v>0</v>
      </c>
      <c r="M177" s="77">
        <f t="shared" si="244"/>
        <v>0</v>
      </c>
      <c r="Q177" s="4">
        <f t="shared" si="183"/>
        <v>45281</v>
      </c>
      <c r="R177" s="24">
        <f t="shared" si="184"/>
        <v>0</v>
      </c>
      <c r="S177" s="25">
        <f t="shared" si="185"/>
        <v>0</v>
      </c>
      <c r="T177" s="24">
        <f t="shared" si="186"/>
        <v>0</v>
      </c>
      <c r="U177" s="25">
        <f t="shared" si="187"/>
        <v>0</v>
      </c>
      <c r="V177" s="24">
        <f t="shared" si="188"/>
        <v>0</v>
      </c>
      <c r="W177" s="25">
        <f t="shared" si="189"/>
        <v>0</v>
      </c>
      <c r="X177" s="24">
        <f t="shared" si="190"/>
        <v>0</v>
      </c>
      <c r="Y177" s="26">
        <f t="shared" si="191"/>
        <v>0</v>
      </c>
      <c r="Z177" s="27">
        <f t="shared" si="192"/>
        <v>0</v>
      </c>
      <c r="AA177" s="28">
        <f t="shared" si="193"/>
        <v>45281</v>
      </c>
      <c r="AB177" s="24">
        <f t="shared" si="194"/>
        <v>0</v>
      </c>
      <c r="AC177" s="25">
        <f t="shared" si="195"/>
        <v>0</v>
      </c>
      <c r="AD177" s="28">
        <f t="shared" si="196"/>
        <v>45281</v>
      </c>
      <c r="AE177" s="24">
        <f t="shared" si="197"/>
        <v>0</v>
      </c>
      <c r="AF177" s="25">
        <f t="shared" si="198"/>
        <v>0</v>
      </c>
      <c r="AG177" s="28">
        <f t="shared" si="199"/>
        <v>45281</v>
      </c>
      <c r="AH177" s="24">
        <f t="shared" si="200"/>
        <v>0</v>
      </c>
      <c r="AI177" s="25">
        <f t="shared" si="201"/>
        <v>0</v>
      </c>
      <c r="AJ177" s="28">
        <f t="shared" si="202"/>
        <v>45281</v>
      </c>
      <c r="AK177" s="24">
        <f t="shared" si="203"/>
        <v>0</v>
      </c>
      <c r="AL177" s="25">
        <f t="shared" si="204"/>
        <v>0</v>
      </c>
      <c r="AM177" s="29">
        <f t="shared" si="205"/>
        <v>0</v>
      </c>
      <c r="AN177" s="28">
        <f t="shared" si="206"/>
        <v>45281</v>
      </c>
      <c r="AO177" s="373">
        <f t="shared" si="175"/>
        <v>0</v>
      </c>
      <c r="AP177" s="374">
        <f t="shared" si="176"/>
        <v>0</v>
      </c>
      <c r="AQ177" s="27">
        <f t="shared" si="177"/>
        <v>0</v>
      </c>
      <c r="AR177" s="25">
        <f t="shared" si="178"/>
        <v>0</v>
      </c>
      <c r="AS177" s="25">
        <f t="shared" si="179"/>
        <v>0</v>
      </c>
      <c r="AT177" s="25">
        <f t="shared" si="180"/>
        <v>0</v>
      </c>
      <c r="AU177" s="29">
        <f t="shared" si="238"/>
        <v>0</v>
      </c>
      <c r="AV177" s="27">
        <f t="shared" si="207"/>
        <v>0</v>
      </c>
      <c r="AW177" s="27">
        <f t="shared" si="208"/>
        <v>0</v>
      </c>
      <c r="AX177" s="27">
        <f t="shared" si="209"/>
        <v>0</v>
      </c>
      <c r="AY177" s="27">
        <f t="shared" si="210"/>
        <v>0</v>
      </c>
      <c r="BH177" s="2">
        <f t="shared" si="211"/>
        <v>0</v>
      </c>
      <c r="BI177" s="298" t="str">
        <f t="shared" si="212"/>
        <v/>
      </c>
      <c r="BJ177" s="298" t="str">
        <f t="shared" si="181"/>
        <v/>
      </c>
      <c r="BQ177" s="4">
        <f t="shared" si="213"/>
        <v>45281</v>
      </c>
      <c r="BR177" s="112">
        <f t="shared" si="214"/>
        <v>0</v>
      </c>
      <c r="BS177" s="112">
        <f t="shared" si="215"/>
        <v>0</v>
      </c>
      <c r="BT177" s="112">
        <f t="shared" si="216"/>
        <v>0</v>
      </c>
      <c r="BU177" s="112">
        <f t="shared" si="217"/>
        <v>0</v>
      </c>
      <c r="BV177" s="112">
        <f t="shared" si="218"/>
        <v>0</v>
      </c>
      <c r="CI177" s="4">
        <f t="shared" si="219"/>
        <v>45281</v>
      </c>
      <c r="CJ177" s="50">
        <f ca="1">IF($BH177=0,IF($CO177="",CJ176+R177,IF('283'!$K$251=1,VLOOKUP($CO177,PerStBal,2)+R177,IF('283'!$K$253=1,(VLOOKUP($CO177,PerPortion,2)*VLOOKUP($CO177,PerStBal,6))+R177,GL!BS177))),0)</f>
        <v>0</v>
      </c>
      <c r="CK177" s="425">
        <f ca="1">IF($BH177=0,IF($CO177="",CK176+T177,IF('283'!$K$251=1,IF(mname2&lt;&gt;"",VLOOKUP($CO177,PerStBal,3)+T177,0),IF('283'!$K$253=1,(VLOOKUP($CO177,PerPortion,3)*VLOOKUP($CO177,PerStBal,6))+T177,GL!BT177))),0)</f>
        <v>0</v>
      </c>
      <c r="CL177" s="425">
        <f ca="1">IF($BH177=0,IF($CO177="",CL176+V177,IF('283'!$K$251=1,IF(mname3&lt;&gt;"",VLOOKUP($CO177,PerStBal,4)+V177,0),IF('283'!$K$253=1,(VLOOKUP($CO177,PerPortion,4)*VLOOKUP($CO177,PerStBal,6))+V177,GL!BU177))),0)</f>
        <v>0</v>
      </c>
      <c r="CM177" s="425">
        <f ca="1">IF($BH177=0,IF($CO177="",CM176+X177,IF('283'!$K$251=1,IF(mname4&lt;&gt;"",VLOOKUP($CO177,PerStBal,5)+X177,0),IF('283'!$K$253=1,(VLOOKUP($CO177,PerPortion,5)*VLOOKUP($CO177,PerStBal,6))+X177,GL!BV177))),0)</f>
        <v>0</v>
      </c>
      <c r="CN177" s="50">
        <f t="shared" ca="1" si="220"/>
        <v>0</v>
      </c>
      <c r="CO177" s="4" t="str">
        <f t="shared" ca="1" si="221"/>
        <v/>
      </c>
      <c r="CP177" s="377">
        <f t="shared" si="182"/>
        <v>0</v>
      </c>
      <c r="DI177" s="4">
        <f t="shared" si="222"/>
        <v>45281</v>
      </c>
      <c r="DJ177" s="112">
        <f t="shared" ca="1" si="223"/>
        <v>0</v>
      </c>
      <c r="DK177" s="112">
        <f t="shared" si="224"/>
        <v>0</v>
      </c>
      <c r="DL177" s="4">
        <f t="shared" si="225"/>
        <v>45281</v>
      </c>
      <c r="DM177" s="112">
        <f t="shared" ca="1" si="226"/>
        <v>0</v>
      </c>
      <c r="DN177" s="112">
        <f t="shared" si="227"/>
        <v>0</v>
      </c>
      <c r="DO177" s="4">
        <f t="shared" si="228"/>
        <v>45281</v>
      </c>
      <c r="DP177" s="112">
        <f t="shared" ca="1" si="229"/>
        <v>0</v>
      </c>
      <c r="DQ177" s="112">
        <f t="shared" si="230"/>
        <v>0</v>
      </c>
      <c r="DR177" s="4">
        <f t="shared" si="231"/>
        <v>45281</v>
      </c>
      <c r="DS177" s="112">
        <f t="shared" ca="1" si="232"/>
        <v>0</v>
      </c>
      <c r="DT177" s="112">
        <f t="shared" si="233"/>
        <v>0</v>
      </c>
      <c r="DU177" s="4">
        <f t="shared" si="234"/>
        <v>45281</v>
      </c>
      <c r="DV177" s="112">
        <f t="shared" si="235"/>
        <v>0</v>
      </c>
      <c r="DW177" s="112">
        <f t="shared" si="236"/>
        <v>0</v>
      </c>
    </row>
    <row r="178" spans="2:127" x14ac:dyDescent="0.25">
      <c r="B178" s="74">
        <f t="shared" si="245"/>
        <v>183</v>
      </c>
      <c r="C178" s="84">
        <f t="shared" si="247"/>
        <v>0</v>
      </c>
      <c r="D178" s="84">
        <f t="shared" si="247"/>
        <v>0</v>
      </c>
      <c r="E178" s="84">
        <f t="shared" si="247"/>
        <v>0</v>
      </c>
      <c r="F178" s="84">
        <f t="shared" si="247"/>
        <v>0</v>
      </c>
      <c r="H178" s="75">
        <f t="shared" ref="H178:H204" si="248">IF(J69&lt;&gt;"",YearEnd-J69,DaysInYear/2)</f>
        <v>183</v>
      </c>
      <c r="I178" s="77">
        <f t="shared" ref="I178:I193" si="249">IF(AND($J69&lt;&gt;"",K69&lt;&gt;""),(YearEnd-$J69)/DaysInYear*+K69,0)</f>
        <v>0</v>
      </c>
      <c r="J178" s="77">
        <f t="shared" ref="J178:J193" si="250">IF(AND($J69&lt;&gt;"",L69&lt;&gt;""),(YearEnd-$J69)/DaysInYear*+L69,0)</f>
        <v>0</v>
      </c>
      <c r="K178" s="77">
        <f t="shared" ref="K178:K193" si="251">IF(AND($J69&lt;&gt;"",M69&lt;&gt;""),(YearEnd-$J69)/DaysInYear*+M69,0)</f>
        <v>0</v>
      </c>
      <c r="L178" s="77">
        <f t="shared" ref="L178:L193" si="252">IF(AND($J69&lt;&gt;"",N69&lt;&gt;""),(YearEnd-$J69)/DaysInYear*+N69,0)</f>
        <v>0</v>
      </c>
      <c r="M178" s="77">
        <f t="shared" ref="M178:M193" si="253">IF(AND($J69&lt;&gt;"",O69&lt;&gt;""),(YearEnd-$J69)/DaysInYear*+O69,0)</f>
        <v>0</v>
      </c>
      <c r="Q178" s="4">
        <f t="shared" si="183"/>
        <v>45282</v>
      </c>
      <c r="R178" s="24">
        <f t="shared" si="184"/>
        <v>0</v>
      </c>
      <c r="S178" s="25">
        <f t="shared" si="185"/>
        <v>0</v>
      </c>
      <c r="T178" s="24">
        <f t="shared" si="186"/>
        <v>0</v>
      </c>
      <c r="U178" s="25">
        <f t="shared" si="187"/>
        <v>0</v>
      </c>
      <c r="V178" s="24">
        <f t="shared" si="188"/>
        <v>0</v>
      </c>
      <c r="W178" s="25">
        <f t="shared" si="189"/>
        <v>0</v>
      </c>
      <c r="X178" s="24">
        <f t="shared" si="190"/>
        <v>0</v>
      </c>
      <c r="Y178" s="26">
        <f t="shared" si="191"/>
        <v>0</v>
      </c>
      <c r="Z178" s="27">
        <f t="shared" si="192"/>
        <v>0</v>
      </c>
      <c r="AA178" s="28">
        <f t="shared" si="193"/>
        <v>45282</v>
      </c>
      <c r="AB178" s="24">
        <f t="shared" si="194"/>
        <v>0</v>
      </c>
      <c r="AC178" s="25">
        <f t="shared" si="195"/>
        <v>0</v>
      </c>
      <c r="AD178" s="28">
        <f t="shared" si="196"/>
        <v>45282</v>
      </c>
      <c r="AE178" s="24">
        <f t="shared" si="197"/>
        <v>0</v>
      </c>
      <c r="AF178" s="25">
        <f t="shared" si="198"/>
        <v>0</v>
      </c>
      <c r="AG178" s="28">
        <f t="shared" si="199"/>
        <v>45282</v>
      </c>
      <c r="AH178" s="24">
        <f t="shared" si="200"/>
        <v>0</v>
      </c>
      <c r="AI178" s="25">
        <f t="shared" si="201"/>
        <v>0</v>
      </c>
      <c r="AJ178" s="28">
        <f t="shared" si="202"/>
        <v>45282</v>
      </c>
      <c r="AK178" s="24">
        <f t="shared" si="203"/>
        <v>0</v>
      </c>
      <c r="AL178" s="25">
        <f t="shared" si="204"/>
        <v>0</v>
      </c>
      <c r="AM178" s="29">
        <f t="shared" si="205"/>
        <v>0</v>
      </c>
      <c r="AN178" s="28">
        <f t="shared" si="206"/>
        <v>45282</v>
      </c>
      <c r="AO178" s="373">
        <f t="shared" si="175"/>
        <v>0</v>
      </c>
      <c r="AP178" s="374">
        <f t="shared" si="176"/>
        <v>0</v>
      </c>
      <c r="AQ178" s="27">
        <f t="shared" si="177"/>
        <v>0</v>
      </c>
      <c r="AR178" s="25">
        <f t="shared" si="178"/>
        <v>0</v>
      </c>
      <c r="AS178" s="25">
        <f t="shared" si="179"/>
        <v>0</v>
      </c>
      <c r="AT178" s="25">
        <f t="shared" si="180"/>
        <v>0</v>
      </c>
      <c r="AU178" s="29">
        <f t="shared" si="238"/>
        <v>0</v>
      </c>
      <c r="AV178" s="27">
        <f t="shared" si="207"/>
        <v>0</v>
      </c>
      <c r="AW178" s="27">
        <f t="shared" si="208"/>
        <v>0</v>
      </c>
      <c r="AX178" s="27">
        <f t="shared" si="209"/>
        <v>0</v>
      </c>
      <c r="AY178" s="27">
        <f t="shared" si="210"/>
        <v>0</v>
      </c>
      <c r="BH178" s="2">
        <f t="shared" si="211"/>
        <v>0</v>
      </c>
      <c r="BI178" s="298" t="str">
        <f t="shared" si="212"/>
        <v/>
      </c>
      <c r="BJ178" s="298" t="str">
        <f t="shared" si="181"/>
        <v/>
      </c>
      <c r="BQ178" s="4">
        <f t="shared" si="213"/>
        <v>45282</v>
      </c>
      <c r="BR178" s="112">
        <f t="shared" si="214"/>
        <v>0</v>
      </c>
      <c r="BS178" s="112">
        <f t="shared" si="215"/>
        <v>0</v>
      </c>
      <c r="BT178" s="112">
        <f t="shared" si="216"/>
        <v>0</v>
      </c>
      <c r="BU178" s="112">
        <f t="shared" si="217"/>
        <v>0</v>
      </c>
      <c r="BV178" s="112">
        <f t="shared" si="218"/>
        <v>0</v>
      </c>
      <c r="CI178" s="4">
        <f t="shared" si="219"/>
        <v>45282</v>
      </c>
      <c r="CJ178" s="50">
        <f ca="1">IF($BH178=0,IF($CO178="",CJ177+R178,IF('283'!$K$251=1,VLOOKUP($CO178,PerStBal,2)+R178,IF('283'!$K$253=1,(VLOOKUP($CO178,PerPortion,2)*VLOOKUP($CO178,PerStBal,6))+R178,GL!BS178))),0)</f>
        <v>0</v>
      </c>
      <c r="CK178" s="425">
        <f ca="1">IF($BH178=0,IF($CO178="",CK177+T178,IF('283'!$K$251=1,IF(mname2&lt;&gt;"",VLOOKUP($CO178,PerStBal,3)+T178,0),IF('283'!$K$253=1,(VLOOKUP($CO178,PerPortion,3)*VLOOKUP($CO178,PerStBal,6))+T178,GL!BT178))),0)</f>
        <v>0</v>
      </c>
      <c r="CL178" s="425">
        <f ca="1">IF($BH178=0,IF($CO178="",CL177+V178,IF('283'!$K$251=1,IF(mname3&lt;&gt;"",VLOOKUP($CO178,PerStBal,4)+V178,0),IF('283'!$K$253=1,(VLOOKUP($CO178,PerPortion,4)*VLOOKUP($CO178,PerStBal,6))+V178,GL!BU178))),0)</f>
        <v>0</v>
      </c>
      <c r="CM178" s="425">
        <f ca="1">IF($BH178=0,IF($CO178="",CM177+X178,IF('283'!$K$251=1,IF(mname4&lt;&gt;"",VLOOKUP($CO178,PerStBal,5)+X178,0),IF('283'!$K$253=1,(VLOOKUP($CO178,PerPortion,5)*VLOOKUP($CO178,PerStBal,6))+X178,GL!BV178))),0)</f>
        <v>0</v>
      </c>
      <c r="CN178" s="50">
        <f t="shared" ca="1" si="220"/>
        <v>0</v>
      </c>
      <c r="CO178" s="4" t="str">
        <f t="shared" ca="1" si="221"/>
        <v/>
      </c>
      <c r="CP178" s="377">
        <f t="shared" si="182"/>
        <v>0</v>
      </c>
      <c r="DI178" s="4">
        <f t="shared" si="222"/>
        <v>45282</v>
      </c>
      <c r="DJ178" s="112">
        <f t="shared" ca="1" si="223"/>
        <v>0</v>
      </c>
      <c r="DK178" s="112">
        <f t="shared" si="224"/>
        <v>0</v>
      </c>
      <c r="DL178" s="4">
        <f t="shared" si="225"/>
        <v>45282</v>
      </c>
      <c r="DM178" s="112">
        <f t="shared" ca="1" si="226"/>
        <v>0</v>
      </c>
      <c r="DN178" s="112">
        <f t="shared" si="227"/>
        <v>0</v>
      </c>
      <c r="DO178" s="4">
        <f t="shared" si="228"/>
        <v>45282</v>
      </c>
      <c r="DP178" s="112">
        <f t="shared" ca="1" si="229"/>
        <v>0</v>
      </c>
      <c r="DQ178" s="112">
        <f t="shared" si="230"/>
        <v>0</v>
      </c>
      <c r="DR178" s="4">
        <f t="shared" si="231"/>
        <v>45282</v>
      </c>
      <c r="DS178" s="112">
        <f t="shared" ca="1" si="232"/>
        <v>0</v>
      </c>
      <c r="DT178" s="112">
        <f t="shared" si="233"/>
        <v>0</v>
      </c>
      <c r="DU178" s="4">
        <f t="shared" si="234"/>
        <v>45282</v>
      </c>
      <c r="DV178" s="112">
        <f t="shared" si="235"/>
        <v>0</v>
      </c>
      <c r="DW178" s="112">
        <f t="shared" si="236"/>
        <v>0</v>
      </c>
    </row>
    <row r="179" spans="2:127" x14ac:dyDescent="0.25">
      <c r="B179" s="74">
        <f t="shared" si="245"/>
        <v>183</v>
      </c>
      <c r="C179" s="84">
        <f t="shared" si="247"/>
        <v>0</v>
      </c>
      <c r="D179" s="84">
        <f t="shared" si="247"/>
        <v>0</v>
      </c>
      <c r="E179" s="84">
        <f t="shared" si="247"/>
        <v>0</v>
      </c>
      <c r="F179" s="84">
        <f t="shared" si="247"/>
        <v>0</v>
      </c>
      <c r="H179" s="75">
        <f t="shared" si="248"/>
        <v>183</v>
      </c>
      <c r="I179" s="77">
        <f t="shared" si="249"/>
        <v>0</v>
      </c>
      <c r="J179" s="77">
        <f t="shared" si="250"/>
        <v>0</v>
      </c>
      <c r="K179" s="77">
        <f t="shared" si="251"/>
        <v>0</v>
      </c>
      <c r="L179" s="77">
        <f t="shared" si="252"/>
        <v>0</v>
      </c>
      <c r="M179" s="77">
        <f t="shared" si="253"/>
        <v>0</v>
      </c>
      <c r="Q179" s="4">
        <f t="shared" si="183"/>
        <v>45283</v>
      </c>
      <c r="R179" s="24">
        <f t="shared" si="184"/>
        <v>0</v>
      </c>
      <c r="S179" s="25">
        <f t="shared" si="185"/>
        <v>0</v>
      </c>
      <c r="T179" s="24">
        <f t="shared" si="186"/>
        <v>0</v>
      </c>
      <c r="U179" s="25">
        <f t="shared" si="187"/>
        <v>0</v>
      </c>
      <c r="V179" s="24">
        <f t="shared" si="188"/>
        <v>0</v>
      </c>
      <c r="W179" s="25">
        <f t="shared" si="189"/>
        <v>0</v>
      </c>
      <c r="X179" s="24">
        <f t="shared" si="190"/>
        <v>0</v>
      </c>
      <c r="Y179" s="26">
        <f t="shared" si="191"/>
        <v>0</v>
      </c>
      <c r="Z179" s="27">
        <f t="shared" si="192"/>
        <v>0</v>
      </c>
      <c r="AA179" s="28">
        <f t="shared" si="193"/>
        <v>45283</v>
      </c>
      <c r="AB179" s="24">
        <f t="shared" si="194"/>
        <v>0</v>
      </c>
      <c r="AC179" s="25">
        <f t="shared" si="195"/>
        <v>0</v>
      </c>
      <c r="AD179" s="28">
        <f t="shared" si="196"/>
        <v>45283</v>
      </c>
      <c r="AE179" s="24">
        <f t="shared" si="197"/>
        <v>0</v>
      </c>
      <c r="AF179" s="25">
        <f t="shared" si="198"/>
        <v>0</v>
      </c>
      <c r="AG179" s="28">
        <f t="shared" si="199"/>
        <v>45283</v>
      </c>
      <c r="AH179" s="24">
        <f t="shared" si="200"/>
        <v>0</v>
      </c>
      <c r="AI179" s="25">
        <f t="shared" si="201"/>
        <v>0</v>
      </c>
      <c r="AJ179" s="28">
        <f t="shared" si="202"/>
        <v>45283</v>
      </c>
      <c r="AK179" s="24">
        <f t="shared" si="203"/>
        <v>0</v>
      </c>
      <c r="AL179" s="25">
        <f t="shared" si="204"/>
        <v>0</v>
      </c>
      <c r="AM179" s="29">
        <f t="shared" si="205"/>
        <v>0</v>
      </c>
      <c r="AN179" s="28">
        <f t="shared" si="206"/>
        <v>45283</v>
      </c>
      <c r="AO179" s="373">
        <f t="shared" si="175"/>
        <v>0</v>
      </c>
      <c r="AP179" s="374">
        <f t="shared" si="176"/>
        <v>0</v>
      </c>
      <c r="AQ179" s="27">
        <f t="shared" si="177"/>
        <v>0</v>
      </c>
      <c r="AR179" s="25">
        <f t="shared" si="178"/>
        <v>0</v>
      </c>
      <c r="AS179" s="25">
        <f t="shared" si="179"/>
        <v>0</v>
      </c>
      <c r="AT179" s="25">
        <f t="shared" si="180"/>
        <v>0</v>
      </c>
      <c r="AU179" s="29">
        <f t="shared" si="238"/>
        <v>0</v>
      </c>
      <c r="AV179" s="27">
        <f t="shared" si="207"/>
        <v>0</v>
      </c>
      <c r="AW179" s="27">
        <f t="shared" si="208"/>
        <v>0</v>
      </c>
      <c r="AX179" s="27">
        <f t="shared" si="209"/>
        <v>0</v>
      </c>
      <c r="AY179" s="27">
        <f t="shared" si="210"/>
        <v>0</v>
      </c>
      <c r="BH179" s="2">
        <f t="shared" si="211"/>
        <v>0</v>
      </c>
      <c r="BI179" s="298" t="str">
        <f t="shared" si="212"/>
        <v/>
      </c>
      <c r="BJ179" s="298" t="str">
        <f t="shared" si="181"/>
        <v/>
      </c>
      <c r="BQ179" s="4">
        <f t="shared" si="213"/>
        <v>45283</v>
      </c>
      <c r="BR179" s="112">
        <f t="shared" si="214"/>
        <v>0</v>
      </c>
      <c r="BS179" s="112">
        <f t="shared" si="215"/>
        <v>0</v>
      </c>
      <c r="BT179" s="112">
        <f t="shared" si="216"/>
        <v>0</v>
      </c>
      <c r="BU179" s="112">
        <f t="shared" si="217"/>
        <v>0</v>
      </c>
      <c r="BV179" s="112">
        <f t="shared" si="218"/>
        <v>0</v>
      </c>
      <c r="CI179" s="4">
        <f t="shared" si="219"/>
        <v>45283</v>
      </c>
      <c r="CJ179" s="50">
        <f ca="1">IF($BH179=0,IF($CO179="",CJ178+R179,IF('283'!$K$251=1,VLOOKUP($CO179,PerStBal,2)+R179,IF('283'!$K$253=1,(VLOOKUP($CO179,PerPortion,2)*VLOOKUP($CO179,PerStBal,6))+R179,GL!BS179))),0)</f>
        <v>0</v>
      </c>
      <c r="CK179" s="425">
        <f ca="1">IF($BH179=0,IF($CO179="",CK178+T179,IF('283'!$K$251=1,IF(mname2&lt;&gt;"",VLOOKUP($CO179,PerStBal,3)+T179,0),IF('283'!$K$253=1,(VLOOKUP($CO179,PerPortion,3)*VLOOKUP($CO179,PerStBal,6))+T179,GL!BT179))),0)</f>
        <v>0</v>
      </c>
      <c r="CL179" s="425">
        <f ca="1">IF($BH179=0,IF($CO179="",CL178+V179,IF('283'!$K$251=1,IF(mname3&lt;&gt;"",VLOOKUP($CO179,PerStBal,4)+V179,0),IF('283'!$K$253=1,(VLOOKUP($CO179,PerPortion,4)*VLOOKUP($CO179,PerStBal,6))+V179,GL!BU179))),0)</f>
        <v>0</v>
      </c>
      <c r="CM179" s="425">
        <f ca="1">IF($BH179=0,IF($CO179="",CM178+X179,IF('283'!$K$251=1,IF(mname4&lt;&gt;"",VLOOKUP($CO179,PerStBal,5)+X179,0),IF('283'!$K$253=1,(VLOOKUP($CO179,PerPortion,5)*VLOOKUP($CO179,PerStBal,6))+X179,GL!BV179))),0)</f>
        <v>0</v>
      </c>
      <c r="CN179" s="50">
        <f t="shared" ca="1" si="220"/>
        <v>0</v>
      </c>
      <c r="CO179" s="4" t="str">
        <f t="shared" ca="1" si="221"/>
        <v/>
      </c>
      <c r="CP179" s="377">
        <f t="shared" si="182"/>
        <v>0</v>
      </c>
      <c r="DI179" s="4">
        <f t="shared" si="222"/>
        <v>45283</v>
      </c>
      <c r="DJ179" s="112">
        <f t="shared" ca="1" si="223"/>
        <v>0</v>
      </c>
      <c r="DK179" s="112">
        <f t="shared" si="224"/>
        <v>0</v>
      </c>
      <c r="DL179" s="4">
        <f t="shared" si="225"/>
        <v>45283</v>
      </c>
      <c r="DM179" s="112">
        <f t="shared" ca="1" si="226"/>
        <v>0</v>
      </c>
      <c r="DN179" s="112">
        <f t="shared" si="227"/>
        <v>0</v>
      </c>
      <c r="DO179" s="4">
        <f t="shared" si="228"/>
        <v>45283</v>
      </c>
      <c r="DP179" s="112">
        <f t="shared" ca="1" si="229"/>
        <v>0</v>
      </c>
      <c r="DQ179" s="112">
        <f t="shared" si="230"/>
        <v>0</v>
      </c>
      <c r="DR179" s="4">
        <f t="shared" si="231"/>
        <v>45283</v>
      </c>
      <c r="DS179" s="112">
        <f t="shared" ca="1" si="232"/>
        <v>0</v>
      </c>
      <c r="DT179" s="112">
        <f t="shared" si="233"/>
        <v>0</v>
      </c>
      <c r="DU179" s="4">
        <f t="shared" si="234"/>
        <v>45283</v>
      </c>
      <c r="DV179" s="112">
        <f t="shared" si="235"/>
        <v>0</v>
      </c>
      <c r="DW179" s="112">
        <f t="shared" si="236"/>
        <v>0</v>
      </c>
    </row>
    <row r="180" spans="2:127" x14ac:dyDescent="0.25">
      <c r="B180" s="74">
        <f t="shared" ref="B180:B204" si="254">IF(C71&lt;&gt;"",YearEnd-C71,DaysInYear/2)</f>
        <v>183</v>
      </c>
      <c r="C180" s="84">
        <f t="shared" si="247"/>
        <v>0</v>
      </c>
      <c r="D180" s="84">
        <f t="shared" si="247"/>
        <v>0</v>
      </c>
      <c r="E180" s="84">
        <f t="shared" si="247"/>
        <v>0</v>
      </c>
      <c r="F180" s="84">
        <f t="shared" si="247"/>
        <v>0</v>
      </c>
      <c r="H180" s="75">
        <f t="shared" si="248"/>
        <v>183</v>
      </c>
      <c r="I180" s="77">
        <f t="shared" si="249"/>
        <v>0</v>
      </c>
      <c r="J180" s="77">
        <f t="shared" si="250"/>
        <v>0</v>
      </c>
      <c r="K180" s="77">
        <f t="shared" si="251"/>
        <v>0</v>
      </c>
      <c r="L180" s="77">
        <f t="shared" si="252"/>
        <v>0</v>
      </c>
      <c r="M180" s="77">
        <f t="shared" si="253"/>
        <v>0</v>
      </c>
      <c r="Q180" s="4">
        <f t="shared" si="183"/>
        <v>45284</v>
      </c>
      <c r="R180" s="24">
        <f t="shared" si="184"/>
        <v>0</v>
      </c>
      <c r="S180" s="25">
        <f t="shared" si="185"/>
        <v>0</v>
      </c>
      <c r="T180" s="24">
        <f t="shared" si="186"/>
        <v>0</v>
      </c>
      <c r="U180" s="25">
        <f t="shared" si="187"/>
        <v>0</v>
      </c>
      <c r="V180" s="24">
        <f t="shared" si="188"/>
        <v>0</v>
      </c>
      <c r="W180" s="25">
        <f t="shared" si="189"/>
        <v>0</v>
      </c>
      <c r="X180" s="24">
        <f t="shared" si="190"/>
        <v>0</v>
      </c>
      <c r="Y180" s="26">
        <f t="shared" si="191"/>
        <v>0</v>
      </c>
      <c r="Z180" s="27">
        <f t="shared" si="192"/>
        <v>0</v>
      </c>
      <c r="AA180" s="28">
        <f t="shared" si="193"/>
        <v>45284</v>
      </c>
      <c r="AB180" s="24">
        <f t="shared" si="194"/>
        <v>0</v>
      </c>
      <c r="AC180" s="25">
        <f t="shared" si="195"/>
        <v>0</v>
      </c>
      <c r="AD180" s="28">
        <f t="shared" si="196"/>
        <v>45284</v>
      </c>
      <c r="AE180" s="24">
        <f t="shared" si="197"/>
        <v>0</v>
      </c>
      <c r="AF180" s="25">
        <f t="shared" si="198"/>
        <v>0</v>
      </c>
      <c r="AG180" s="28">
        <f t="shared" si="199"/>
        <v>45284</v>
      </c>
      <c r="AH180" s="24">
        <f t="shared" si="200"/>
        <v>0</v>
      </c>
      <c r="AI180" s="25">
        <f t="shared" si="201"/>
        <v>0</v>
      </c>
      <c r="AJ180" s="28">
        <f t="shared" si="202"/>
        <v>45284</v>
      </c>
      <c r="AK180" s="24">
        <f t="shared" si="203"/>
        <v>0</v>
      </c>
      <c r="AL180" s="25">
        <f t="shared" si="204"/>
        <v>0</v>
      </c>
      <c r="AM180" s="29">
        <f t="shared" si="205"/>
        <v>0</v>
      </c>
      <c r="AN180" s="28">
        <f t="shared" si="206"/>
        <v>45284</v>
      </c>
      <c r="AO180" s="373">
        <f t="shared" si="175"/>
        <v>0</v>
      </c>
      <c r="AP180" s="374">
        <f t="shared" si="176"/>
        <v>0</v>
      </c>
      <c r="AQ180" s="27">
        <f t="shared" si="177"/>
        <v>0</v>
      </c>
      <c r="AR180" s="25">
        <f t="shared" si="178"/>
        <v>0</v>
      </c>
      <c r="AS180" s="25">
        <f t="shared" si="179"/>
        <v>0</v>
      </c>
      <c r="AT180" s="25">
        <f t="shared" si="180"/>
        <v>0</v>
      </c>
      <c r="AU180" s="29">
        <f t="shared" si="238"/>
        <v>0</v>
      </c>
      <c r="AV180" s="27">
        <f t="shared" si="207"/>
        <v>0</v>
      </c>
      <c r="AW180" s="27">
        <f t="shared" si="208"/>
        <v>0</v>
      </c>
      <c r="AX180" s="27">
        <f t="shared" si="209"/>
        <v>0</v>
      </c>
      <c r="AY180" s="27">
        <f t="shared" si="210"/>
        <v>0</v>
      </c>
      <c r="BH180" s="2">
        <f t="shared" si="211"/>
        <v>0</v>
      </c>
      <c r="BI180" s="298" t="str">
        <f t="shared" si="212"/>
        <v/>
      </c>
      <c r="BJ180" s="298" t="str">
        <f t="shared" si="181"/>
        <v/>
      </c>
      <c r="BQ180" s="4">
        <f t="shared" si="213"/>
        <v>45284</v>
      </c>
      <c r="BR180" s="112">
        <f t="shared" si="214"/>
        <v>0</v>
      </c>
      <c r="BS180" s="112">
        <f t="shared" si="215"/>
        <v>0</v>
      </c>
      <c r="BT180" s="112">
        <f t="shared" si="216"/>
        <v>0</v>
      </c>
      <c r="BU180" s="112">
        <f t="shared" si="217"/>
        <v>0</v>
      </c>
      <c r="BV180" s="112">
        <f t="shared" si="218"/>
        <v>0</v>
      </c>
      <c r="CI180" s="4">
        <f t="shared" si="219"/>
        <v>45284</v>
      </c>
      <c r="CJ180" s="50">
        <f ca="1">IF($BH180=0,IF($CO180="",CJ179+R180,IF('283'!$K$251=1,VLOOKUP($CO180,PerStBal,2)+R180,IF('283'!$K$253=1,(VLOOKUP($CO180,PerPortion,2)*VLOOKUP($CO180,PerStBal,6))+R180,GL!BS180))),0)</f>
        <v>0</v>
      </c>
      <c r="CK180" s="425">
        <f ca="1">IF($BH180=0,IF($CO180="",CK179+T180,IF('283'!$K$251=1,IF(mname2&lt;&gt;"",VLOOKUP($CO180,PerStBal,3)+T180,0),IF('283'!$K$253=1,(VLOOKUP($CO180,PerPortion,3)*VLOOKUP($CO180,PerStBal,6))+T180,GL!BT180))),0)</f>
        <v>0</v>
      </c>
      <c r="CL180" s="425">
        <f ca="1">IF($BH180=0,IF($CO180="",CL179+V180,IF('283'!$K$251=1,IF(mname3&lt;&gt;"",VLOOKUP($CO180,PerStBal,4)+V180,0),IF('283'!$K$253=1,(VLOOKUP($CO180,PerPortion,4)*VLOOKUP($CO180,PerStBal,6))+V180,GL!BU180))),0)</f>
        <v>0</v>
      </c>
      <c r="CM180" s="425">
        <f ca="1">IF($BH180=0,IF($CO180="",CM179+X180,IF('283'!$K$251=1,IF(mname4&lt;&gt;"",VLOOKUP($CO180,PerStBal,5)+X180,0),IF('283'!$K$253=1,(VLOOKUP($CO180,PerPortion,5)*VLOOKUP($CO180,PerStBal,6))+X180,GL!BV180))),0)</f>
        <v>0</v>
      </c>
      <c r="CN180" s="50">
        <f t="shared" ca="1" si="220"/>
        <v>0</v>
      </c>
      <c r="CO180" s="4" t="str">
        <f t="shared" ca="1" si="221"/>
        <v/>
      </c>
      <c r="CP180" s="377">
        <f t="shared" si="182"/>
        <v>0</v>
      </c>
      <c r="DI180" s="4">
        <f t="shared" si="222"/>
        <v>45284</v>
      </c>
      <c r="DJ180" s="112">
        <f t="shared" ca="1" si="223"/>
        <v>0</v>
      </c>
      <c r="DK180" s="112">
        <f t="shared" si="224"/>
        <v>0</v>
      </c>
      <c r="DL180" s="4">
        <f t="shared" si="225"/>
        <v>45284</v>
      </c>
      <c r="DM180" s="112">
        <f t="shared" ca="1" si="226"/>
        <v>0</v>
      </c>
      <c r="DN180" s="112">
        <f t="shared" si="227"/>
        <v>0</v>
      </c>
      <c r="DO180" s="4">
        <f t="shared" si="228"/>
        <v>45284</v>
      </c>
      <c r="DP180" s="112">
        <f t="shared" ca="1" si="229"/>
        <v>0</v>
      </c>
      <c r="DQ180" s="112">
        <f t="shared" si="230"/>
        <v>0</v>
      </c>
      <c r="DR180" s="4">
        <f t="shared" si="231"/>
        <v>45284</v>
      </c>
      <c r="DS180" s="112">
        <f t="shared" ca="1" si="232"/>
        <v>0</v>
      </c>
      <c r="DT180" s="112">
        <f t="shared" si="233"/>
        <v>0</v>
      </c>
      <c r="DU180" s="4">
        <f t="shared" si="234"/>
        <v>45284</v>
      </c>
      <c r="DV180" s="112">
        <f t="shared" si="235"/>
        <v>0</v>
      </c>
      <c r="DW180" s="112">
        <f t="shared" si="236"/>
        <v>0</v>
      </c>
    </row>
    <row r="181" spans="2:127" x14ac:dyDescent="0.25">
      <c r="B181" s="74">
        <f t="shared" si="254"/>
        <v>183</v>
      </c>
      <c r="C181" s="84">
        <f t="shared" si="247"/>
        <v>0</v>
      </c>
      <c r="D181" s="84">
        <f t="shared" si="247"/>
        <v>0</v>
      </c>
      <c r="E181" s="84">
        <f t="shared" si="247"/>
        <v>0</v>
      </c>
      <c r="F181" s="84">
        <f t="shared" si="247"/>
        <v>0</v>
      </c>
      <c r="H181" s="75">
        <f t="shared" si="248"/>
        <v>183</v>
      </c>
      <c r="I181" s="77">
        <f t="shared" si="249"/>
        <v>0</v>
      </c>
      <c r="J181" s="77">
        <f t="shared" si="250"/>
        <v>0</v>
      </c>
      <c r="K181" s="77">
        <f t="shared" si="251"/>
        <v>0</v>
      </c>
      <c r="L181" s="77">
        <f t="shared" si="252"/>
        <v>0</v>
      </c>
      <c r="M181" s="77">
        <f t="shared" si="253"/>
        <v>0</v>
      </c>
      <c r="Q181" s="4">
        <f t="shared" si="183"/>
        <v>45285</v>
      </c>
      <c r="R181" s="24">
        <f t="shared" si="184"/>
        <v>0</v>
      </c>
      <c r="S181" s="25">
        <f t="shared" si="185"/>
        <v>0</v>
      </c>
      <c r="T181" s="24">
        <f t="shared" si="186"/>
        <v>0</v>
      </c>
      <c r="U181" s="25">
        <f t="shared" si="187"/>
        <v>0</v>
      </c>
      <c r="V181" s="24">
        <f t="shared" si="188"/>
        <v>0</v>
      </c>
      <c r="W181" s="25">
        <f t="shared" si="189"/>
        <v>0</v>
      </c>
      <c r="X181" s="24">
        <f t="shared" si="190"/>
        <v>0</v>
      </c>
      <c r="Y181" s="26">
        <f t="shared" si="191"/>
        <v>0</v>
      </c>
      <c r="Z181" s="27">
        <f t="shared" si="192"/>
        <v>0</v>
      </c>
      <c r="AA181" s="28">
        <f t="shared" si="193"/>
        <v>45285</v>
      </c>
      <c r="AB181" s="24">
        <f t="shared" si="194"/>
        <v>0</v>
      </c>
      <c r="AC181" s="25">
        <f t="shared" si="195"/>
        <v>0</v>
      </c>
      <c r="AD181" s="28">
        <f t="shared" si="196"/>
        <v>45285</v>
      </c>
      <c r="AE181" s="24">
        <f t="shared" si="197"/>
        <v>0</v>
      </c>
      <c r="AF181" s="25">
        <f t="shared" si="198"/>
        <v>0</v>
      </c>
      <c r="AG181" s="28">
        <f t="shared" si="199"/>
        <v>45285</v>
      </c>
      <c r="AH181" s="24">
        <f t="shared" si="200"/>
        <v>0</v>
      </c>
      <c r="AI181" s="25">
        <f t="shared" si="201"/>
        <v>0</v>
      </c>
      <c r="AJ181" s="28">
        <f t="shared" si="202"/>
        <v>45285</v>
      </c>
      <c r="AK181" s="24">
        <f t="shared" si="203"/>
        <v>0</v>
      </c>
      <c r="AL181" s="25">
        <f t="shared" si="204"/>
        <v>0</v>
      </c>
      <c r="AM181" s="29">
        <f t="shared" si="205"/>
        <v>0</v>
      </c>
      <c r="AN181" s="28">
        <f t="shared" si="206"/>
        <v>45285</v>
      </c>
      <c r="AO181" s="373">
        <f t="shared" si="175"/>
        <v>0</v>
      </c>
      <c r="AP181" s="374">
        <f t="shared" si="176"/>
        <v>0</v>
      </c>
      <c r="AQ181" s="27">
        <f t="shared" si="177"/>
        <v>0</v>
      </c>
      <c r="AR181" s="25">
        <f t="shared" si="178"/>
        <v>0</v>
      </c>
      <c r="AS181" s="25">
        <f t="shared" si="179"/>
        <v>0</v>
      </c>
      <c r="AT181" s="25">
        <f t="shared" si="180"/>
        <v>0</v>
      </c>
      <c r="AU181" s="29">
        <f t="shared" si="238"/>
        <v>0</v>
      </c>
      <c r="AV181" s="27">
        <f t="shared" si="207"/>
        <v>0</v>
      </c>
      <c r="AW181" s="27">
        <f t="shared" si="208"/>
        <v>0</v>
      </c>
      <c r="AX181" s="27">
        <f t="shared" si="209"/>
        <v>0</v>
      </c>
      <c r="AY181" s="27">
        <f t="shared" si="210"/>
        <v>0</v>
      </c>
      <c r="BH181" s="2">
        <f t="shared" si="211"/>
        <v>0</v>
      </c>
      <c r="BI181" s="298" t="str">
        <f t="shared" si="212"/>
        <v/>
      </c>
      <c r="BJ181" s="298" t="str">
        <f t="shared" si="181"/>
        <v/>
      </c>
      <c r="BQ181" s="4">
        <f t="shared" si="213"/>
        <v>45285</v>
      </c>
      <c r="BR181" s="112">
        <f t="shared" si="214"/>
        <v>0</v>
      </c>
      <c r="BS181" s="112">
        <f t="shared" si="215"/>
        <v>0</v>
      </c>
      <c r="BT181" s="112">
        <f t="shared" si="216"/>
        <v>0</v>
      </c>
      <c r="BU181" s="112">
        <f t="shared" si="217"/>
        <v>0</v>
      </c>
      <c r="BV181" s="112">
        <f t="shared" si="218"/>
        <v>0</v>
      </c>
      <c r="CI181" s="4">
        <f t="shared" si="219"/>
        <v>45285</v>
      </c>
      <c r="CJ181" s="50">
        <f ca="1">IF($BH181=0,IF($CO181="",CJ180+R181,IF('283'!$K$251=1,VLOOKUP($CO181,PerStBal,2)+R181,IF('283'!$K$253=1,(VLOOKUP($CO181,PerPortion,2)*VLOOKUP($CO181,PerStBal,6))+R181,GL!BS181))),0)</f>
        <v>0</v>
      </c>
      <c r="CK181" s="425">
        <f ca="1">IF($BH181=0,IF($CO181="",CK180+T181,IF('283'!$K$251=1,IF(mname2&lt;&gt;"",VLOOKUP($CO181,PerStBal,3)+T181,0),IF('283'!$K$253=1,(VLOOKUP($CO181,PerPortion,3)*VLOOKUP($CO181,PerStBal,6))+T181,GL!BT181))),0)</f>
        <v>0</v>
      </c>
      <c r="CL181" s="425">
        <f ca="1">IF($BH181=0,IF($CO181="",CL180+V181,IF('283'!$K$251=1,IF(mname3&lt;&gt;"",VLOOKUP($CO181,PerStBal,4)+V181,0),IF('283'!$K$253=1,(VLOOKUP($CO181,PerPortion,4)*VLOOKUP($CO181,PerStBal,6))+V181,GL!BU181))),0)</f>
        <v>0</v>
      </c>
      <c r="CM181" s="425">
        <f ca="1">IF($BH181=0,IF($CO181="",CM180+X181,IF('283'!$K$251=1,IF(mname4&lt;&gt;"",VLOOKUP($CO181,PerStBal,5)+X181,0),IF('283'!$K$253=1,(VLOOKUP($CO181,PerPortion,5)*VLOOKUP($CO181,PerStBal,6))+X181,GL!BV181))),0)</f>
        <v>0</v>
      </c>
      <c r="CN181" s="50">
        <f t="shared" ca="1" si="220"/>
        <v>0</v>
      </c>
      <c r="CO181" s="4" t="str">
        <f t="shared" ca="1" si="221"/>
        <v/>
      </c>
      <c r="CP181" s="377">
        <f t="shared" si="182"/>
        <v>0</v>
      </c>
      <c r="DI181" s="4">
        <f t="shared" si="222"/>
        <v>45285</v>
      </c>
      <c r="DJ181" s="112">
        <f t="shared" ca="1" si="223"/>
        <v>0</v>
      </c>
      <c r="DK181" s="112">
        <f t="shared" si="224"/>
        <v>0</v>
      </c>
      <c r="DL181" s="4">
        <f t="shared" si="225"/>
        <v>45285</v>
      </c>
      <c r="DM181" s="112">
        <f t="shared" ca="1" si="226"/>
        <v>0</v>
      </c>
      <c r="DN181" s="112">
        <f t="shared" si="227"/>
        <v>0</v>
      </c>
      <c r="DO181" s="4">
        <f t="shared" si="228"/>
        <v>45285</v>
      </c>
      <c r="DP181" s="112">
        <f t="shared" ca="1" si="229"/>
        <v>0</v>
      </c>
      <c r="DQ181" s="112">
        <f t="shared" si="230"/>
        <v>0</v>
      </c>
      <c r="DR181" s="4">
        <f t="shared" si="231"/>
        <v>45285</v>
      </c>
      <c r="DS181" s="112">
        <f t="shared" ca="1" si="232"/>
        <v>0</v>
      </c>
      <c r="DT181" s="112">
        <f t="shared" si="233"/>
        <v>0</v>
      </c>
      <c r="DU181" s="4">
        <f t="shared" si="234"/>
        <v>45285</v>
      </c>
      <c r="DV181" s="112">
        <f t="shared" si="235"/>
        <v>0</v>
      </c>
      <c r="DW181" s="112">
        <f t="shared" si="236"/>
        <v>0</v>
      </c>
    </row>
    <row r="182" spans="2:127" x14ac:dyDescent="0.25">
      <c r="B182" s="74">
        <f t="shared" si="254"/>
        <v>183</v>
      </c>
      <c r="C182" s="84">
        <f t="shared" si="247"/>
        <v>0</v>
      </c>
      <c r="D182" s="84">
        <f t="shared" si="247"/>
        <v>0</v>
      </c>
      <c r="E182" s="84">
        <f t="shared" si="247"/>
        <v>0</v>
      </c>
      <c r="F182" s="84">
        <f t="shared" si="247"/>
        <v>0</v>
      </c>
      <c r="H182" s="75">
        <f t="shared" si="248"/>
        <v>183</v>
      </c>
      <c r="I182" s="77">
        <f t="shared" si="249"/>
        <v>0</v>
      </c>
      <c r="J182" s="77">
        <f t="shared" si="250"/>
        <v>0</v>
      </c>
      <c r="K182" s="77">
        <f t="shared" si="251"/>
        <v>0</v>
      </c>
      <c r="L182" s="77">
        <f t="shared" si="252"/>
        <v>0</v>
      </c>
      <c r="M182" s="77">
        <f t="shared" si="253"/>
        <v>0</v>
      </c>
      <c r="Q182" s="4">
        <f t="shared" si="183"/>
        <v>45286</v>
      </c>
      <c r="R182" s="24">
        <f t="shared" si="184"/>
        <v>0</v>
      </c>
      <c r="S182" s="25">
        <f t="shared" si="185"/>
        <v>0</v>
      </c>
      <c r="T182" s="24">
        <f t="shared" si="186"/>
        <v>0</v>
      </c>
      <c r="U182" s="25">
        <f t="shared" si="187"/>
        <v>0</v>
      </c>
      <c r="V182" s="24">
        <f t="shared" si="188"/>
        <v>0</v>
      </c>
      <c r="W182" s="25">
        <f t="shared" si="189"/>
        <v>0</v>
      </c>
      <c r="X182" s="24">
        <f t="shared" si="190"/>
        <v>0</v>
      </c>
      <c r="Y182" s="26">
        <f t="shared" si="191"/>
        <v>0</v>
      </c>
      <c r="Z182" s="27">
        <f t="shared" si="192"/>
        <v>0</v>
      </c>
      <c r="AA182" s="28">
        <f t="shared" si="193"/>
        <v>45286</v>
      </c>
      <c r="AB182" s="24">
        <f t="shared" si="194"/>
        <v>0</v>
      </c>
      <c r="AC182" s="25">
        <f t="shared" si="195"/>
        <v>0</v>
      </c>
      <c r="AD182" s="28">
        <f t="shared" si="196"/>
        <v>45286</v>
      </c>
      <c r="AE182" s="24">
        <f t="shared" si="197"/>
        <v>0</v>
      </c>
      <c r="AF182" s="25">
        <f t="shared" si="198"/>
        <v>0</v>
      </c>
      <c r="AG182" s="28">
        <f t="shared" si="199"/>
        <v>45286</v>
      </c>
      <c r="AH182" s="24">
        <f t="shared" si="200"/>
        <v>0</v>
      </c>
      <c r="AI182" s="25">
        <f t="shared" si="201"/>
        <v>0</v>
      </c>
      <c r="AJ182" s="28">
        <f t="shared" si="202"/>
        <v>45286</v>
      </c>
      <c r="AK182" s="24">
        <f t="shared" si="203"/>
        <v>0</v>
      </c>
      <c r="AL182" s="25">
        <f t="shared" si="204"/>
        <v>0</v>
      </c>
      <c r="AM182" s="29">
        <f t="shared" si="205"/>
        <v>0</v>
      </c>
      <c r="AN182" s="28">
        <f t="shared" si="206"/>
        <v>45286</v>
      </c>
      <c r="AO182" s="373">
        <f t="shared" si="175"/>
        <v>0</v>
      </c>
      <c r="AP182" s="374">
        <f t="shared" si="176"/>
        <v>0</v>
      </c>
      <c r="AQ182" s="27">
        <f t="shared" si="177"/>
        <v>0</v>
      </c>
      <c r="AR182" s="25">
        <f t="shared" si="178"/>
        <v>0</v>
      </c>
      <c r="AS182" s="25">
        <f t="shared" si="179"/>
        <v>0</v>
      </c>
      <c r="AT182" s="25">
        <f t="shared" si="180"/>
        <v>0</v>
      </c>
      <c r="AU182" s="29">
        <f t="shared" si="238"/>
        <v>0</v>
      </c>
      <c r="AV182" s="27">
        <f t="shared" si="207"/>
        <v>0</v>
      </c>
      <c r="AW182" s="27">
        <f t="shared" si="208"/>
        <v>0</v>
      </c>
      <c r="AX182" s="27">
        <f t="shared" si="209"/>
        <v>0</v>
      </c>
      <c r="AY182" s="27">
        <f t="shared" si="210"/>
        <v>0</v>
      </c>
      <c r="BH182" s="2">
        <f t="shared" si="211"/>
        <v>0</v>
      </c>
      <c r="BI182" s="298" t="str">
        <f t="shared" si="212"/>
        <v/>
      </c>
      <c r="BJ182" s="298" t="str">
        <f t="shared" si="181"/>
        <v/>
      </c>
      <c r="BQ182" s="4">
        <f t="shared" si="213"/>
        <v>45286</v>
      </c>
      <c r="BR182" s="112">
        <f t="shared" si="214"/>
        <v>0</v>
      </c>
      <c r="BS182" s="112">
        <f t="shared" si="215"/>
        <v>0</v>
      </c>
      <c r="BT182" s="112">
        <f t="shared" si="216"/>
        <v>0</v>
      </c>
      <c r="BU182" s="112">
        <f t="shared" si="217"/>
        <v>0</v>
      </c>
      <c r="BV182" s="112">
        <f t="shared" si="218"/>
        <v>0</v>
      </c>
      <c r="CI182" s="4">
        <f t="shared" si="219"/>
        <v>45286</v>
      </c>
      <c r="CJ182" s="50">
        <f ca="1">IF($BH182=0,IF($CO182="",CJ181+R182,IF('283'!$K$251=1,VLOOKUP($CO182,PerStBal,2)+R182,IF('283'!$K$253=1,(VLOOKUP($CO182,PerPortion,2)*VLOOKUP($CO182,PerStBal,6))+R182,GL!BS182))),0)</f>
        <v>0</v>
      </c>
      <c r="CK182" s="425">
        <f ca="1">IF($BH182=0,IF($CO182="",CK181+T182,IF('283'!$K$251=1,IF(mname2&lt;&gt;"",VLOOKUP($CO182,PerStBal,3)+T182,0),IF('283'!$K$253=1,(VLOOKUP($CO182,PerPortion,3)*VLOOKUP($CO182,PerStBal,6))+T182,GL!BT182))),0)</f>
        <v>0</v>
      </c>
      <c r="CL182" s="425">
        <f ca="1">IF($BH182=0,IF($CO182="",CL181+V182,IF('283'!$K$251=1,IF(mname3&lt;&gt;"",VLOOKUP($CO182,PerStBal,4)+V182,0),IF('283'!$K$253=1,(VLOOKUP($CO182,PerPortion,4)*VLOOKUP($CO182,PerStBal,6))+V182,GL!BU182))),0)</f>
        <v>0</v>
      </c>
      <c r="CM182" s="425">
        <f ca="1">IF($BH182=0,IF($CO182="",CM181+X182,IF('283'!$K$251=1,IF(mname4&lt;&gt;"",VLOOKUP($CO182,PerStBal,5)+X182,0),IF('283'!$K$253=1,(VLOOKUP($CO182,PerPortion,5)*VLOOKUP($CO182,PerStBal,6))+X182,GL!BV182))),0)</f>
        <v>0</v>
      </c>
      <c r="CN182" s="50">
        <f t="shared" ca="1" si="220"/>
        <v>0</v>
      </c>
      <c r="CO182" s="4" t="str">
        <f t="shared" ca="1" si="221"/>
        <v/>
      </c>
      <c r="CP182" s="377">
        <f t="shared" si="182"/>
        <v>0</v>
      </c>
      <c r="DI182" s="4">
        <f t="shared" si="222"/>
        <v>45286</v>
      </c>
      <c r="DJ182" s="112">
        <f t="shared" ca="1" si="223"/>
        <v>0</v>
      </c>
      <c r="DK182" s="112">
        <f t="shared" si="224"/>
        <v>0</v>
      </c>
      <c r="DL182" s="4">
        <f t="shared" si="225"/>
        <v>45286</v>
      </c>
      <c r="DM182" s="112">
        <f t="shared" ca="1" si="226"/>
        <v>0</v>
      </c>
      <c r="DN182" s="112">
        <f t="shared" si="227"/>
        <v>0</v>
      </c>
      <c r="DO182" s="4">
        <f t="shared" si="228"/>
        <v>45286</v>
      </c>
      <c r="DP182" s="112">
        <f t="shared" ca="1" si="229"/>
        <v>0</v>
      </c>
      <c r="DQ182" s="112">
        <f t="shared" si="230"/>
        <v>0</v>
      </c>
      <c r="DR182" s="4">
        <f t="shared" si="231"/>
        <v>45286</v>
      </c>
      <c r="DS182" s="112">
        <f t="shared" ca="1" si="232"/>
        <v>0</v>
      </c>
      <c r="DT182" s="112">
        <f t="shared" si="233"/>
        <v>0</v>
      </c>
      <c r="DU182" s="4">
        <f t="shared" si="234"/>
        <v>45286</v>
      </c>
      <c r="DV182" s="112">
        <f t="shared" si="235"/>
        <v>0</v>
      </c>
      <c r="DW182" s="112">
        <f t="shared" si="236"/>
        <v>0</v>
      </c>
    </row>
    <row r="183" spans="2:127" x14ac:dyDescent="0.25">
      <c r="B183" s="74">
        <f t="shared" si="254"/>
        <v>183</v>
      </c>
      <c r="C183" s="84">
        <f t="shared" si="247"/>
        <v>0</v>
      </c>
      <c r="D183" s="84">
        <f t="shared" si="247"/>
        <v>0</v>
      </c>
      <c r="E183" s="84">
        <f t="shared" si="247"/>
        <v>0</v>
      </c>
      <c r="F183" s="84">
        <f t="shared" si="247"/>
        <v>0</v>
      </c>
      <c r="H183" s="75">
        <f t="shared" si="248"/>
        <v>183</v>
      </c>
      <c r="I183" s="77">
        <f t="shared" si="249"/>
        <v>0</v>
      </c>
      <c r="J183" s="77">
        <f t="shared" si="250"/>
        <v>0</v>
      </c>
      <c r="K183" s="77">
        <f t="shared" si="251"/>
        <v>0</v>
      </c>
      <c r="L183" s="77">
        <f t="shared" si="252"/>
        <v>0</v>
      </c>
      <c r="M183" s="77">
        <f t="shared" si="253"/>
        <v>0</v>
      </c>
      <c r="Q183" s="4">
        <f t="shared" si="183"/>
        <v>45287</v>
      </c>
      <c r="R183" s="24">
        <f t="shared" si="184"/>
        <v>0</v>
      </c>
      <c r="S183" s="25">
        <f t="shared" si="185"/>
        <v>0</v>
      </c>
      <c r="T183" s="24">
        <f t="shared" si="186"/>
        <v>0</v>
      </c>
      <c r="U183" s="25">
        <f t="shared" si="187"/>
        <v>0</v>
      </c>
      <c r="V183" s="24">
        <f t="shared" si="188"/>
        <v>0</v>
      </c>
      <c r="W183" s="25">
        <f t="shared" si="189"/>
        <v>0</v>
      </c>
      <c r="X183" s="24">
        <f t="shared" si="190"/>
        <v>0</v>
      </c>
      <c r="Y183" s="26">
        <f t="shared" si="191"/>
        <v>0</v>
      </c>
      <c r="Z183" s="27">
        <f t="shared" si="192"/>
        <v>0</v>
      </c>
      <c r="AA183" s="28">
        <f t="shared" si="193"/>
        <v>45287</v>
      </c>
      <c r="AB183" s="24">
        <f t="shared" si="194"/>
        <v>0</v>
      </c>
      <c r="AC183" s="25">
        <f t="shared" si="195"/>
        <v>0</v>
      </c>
      <c r="AD183" s="28">
        <f t="shared" si="196"/>
        <v>45287</v>
      </c>
      <c r="AE183" s="24">
        <f t="shared" si="197"/>
        <v>0</v>
      </c>
      <c r="AF183" s="25">
        <f t="shared" si="198"/>
        <v>0</v>
      </c>
      <c r="AG183" s="28">
        <f t="shared" si="199"/>
        <v>45287</v>
      </c>
      <c r="AH183" s="24">
        <f t="shared" si="200"/>
        <v>0</v>
      </c>
      <c r="AI183" s="25">
        <f t="shared" si="201"/>
        <v>0</v>
      </c>
      <c r="AJ183" s="28">
        <f t="shared" si="202"/>
        <v>45287</v>
      </c>
      <c r="AK183" s="24">
        <f t="shared" si="203"/>
        <v>0</v>
      </c>
      <c r="AL183" s="25">
        <f t="shared" si="204"/>
        <v>0</v>
      </c>
      <c r="AM183" s="29">
        <f t="shared" si="205"/>
        <v>0</v>
      </c>
      <c r="AN183" s="28">
        <f t="shared" si="206"/>
        <v>45287</v>
      </c>
      <c r="AO183" s="373">
        <f t="shared" si="175"/>
        <v>0</v>
      </c>
      <c r="AP183" s="374">
        <f t="shared" si="176"/>
        <v>0</v>
      </c>
      <c r="AQ183" s="27">
        <f t="shared" si="177"/>
        <v>0</v>
      </c>
      <c r="AR183" s="25">
        <f t="shared" si="178"/>
        <v>0</v>
      </c>
      <c r="AS183" s="25">
        <f t="shared" si="179"/>
        <v>0</v>
      </c>
      <c r="AT183" s="25">
        <f t="shared" si="180"/>
        <v>0</v>
      </c>
      <c r="AU183" s="29">
        <f t="shared" si="238"/>
        <v>0</v>
      </c>
      <c r="AV183" s="27">
        <f t="shared" si="207"/>
        <v>0</v>
      </c>
      <c r="AW183" s="27">
        <f t="shared" si="208"/>
        <v>0</v>
      </c>
      <c r="AX183" s="27">
        <f t="shared" si="209"/>
        <v>0</v>
      </c>
      <c r="AY183" s="27">
        <f t="shared" si="210"/>
        <v>0</v>
      </c>
      <c r="BH183" s="2">
        <f t="shared" si="211"/>
        <v>0</v>
      </c>
      <c r="BI183" s="298" t="str">
        <f t="shared" si="212"/>
        <v/>
      </c>
      <c r="BJ183" s="298" t="str">
        <f t="shared" si="181"/>
        <v/>
      </c>
      <c r="BQ183" s="4">
        <f t="shared" si="213"/>
        <v>45287</v>
      </c>
      <c r="BR183" s="112">
        <f t="shared" si="214"/>
        <v>0</v>
      </c>
      <c r="BS183" s="112">
        <f t="shared" si="215"/>
        <v>0</v>
      </c>
      <c r="BT183" s="112">
        <f t="shared" si="216"/>
        <v>0</v>
      </c>
      <c r="BU183" s="112">
        <f t="shared" si="217"/>
        <v>0</v>
      </c>
      <c r="BV183" s="112">
        <f t="shared" si="218"/>
        <v>0</v>
      </c>
      <c r="CI183" s="4">
        <f t="shared" si="219"/>
        <v>45287</v>
      </c>
      <c r="CJ183" s="50">
        <f ca="1">IF($BH183=0,IF($CO183="",CJ182+R183,IF('283'!$K$251=1,VLOOKUP($CO183,PerStBal,2)+R183,IF('283'!$K$253=1,(VLOOKUP($CO183,PerPortion,2)*VLOOKUP($CO183,PerStBal,6))+R183,GL!BS183))),0)</f>
        <v>0</v>
      </c>
      <c r="CK183" s="425">
        <f ca="1">IF($BH183=0,IF($CO183="",CK182+T183,IF('283'!$K$251=1,IF(mname2&lt;&gt;"",VLOOKUP($CO183,PerStBal,3)+T183,0),IF('283'!$K$253=1,(VLOOKUP($CO183,PerPortion,3)*VLOOKUP($CO183,PerStBal,6))+T183,GL!BT183))),0)</f>
        <v>0</v>
      </c>
      <c r="CL183" s="425">
        <f ca="1">IF($BH183=0,IF($CO183="",CL182+V183,IF('283'!$K$251=1,IF(mname3&lt;&gt;"",VLOOKUP($CO183,PerStBal,4)+V183,0),IF('283'!$K$253=1,(VLOOKUP($CO183,PerPortion,4)*VLOOKUP($CO183,PerStBal,6))+V183,GL!BU183))),0)</f>
        <v>0</v>
      </c>
      <c r="CM183" s="425">
        <f ca="1">IF($BH183=0,IF($CO183="",CM182+X183,IF('283'!$K$251=1,IF(mname4&lt;&gt;"",VLOOKUP($CO183,PerStBal,5)+X183,0),IF('283'!$K$253=1,(VLOOKUP($CO183,PerPortion,5)*VLOOKUP($CO183,PerStBal,6))+X183,GL!BV183))),0)</f>
        <v>0</v>
      </c>
      <c r="CN183" s="50">
        <f t="shared" ca="1" si="220"/>
        <v>0</v>
      </c>
      <c r="CO183" s="4" t="str">
        <f t="shared" ca="1" si="221"/>
        <v/>
      </c>
      <c r="CP183" s="377">
        <f t="shared" si="182"/>
        <v>0</v>
      </c>
      <c r="DI183" s="4">
        <f t="shared" si="222"/>
        <v>45287</v>
      </c>
      <c r="DJ183" s="112">
        <f t="shared" ca="1" si="223"/>
        <v>0</v>
      </c>
      <c r="DK183" s="112">
        <f t="shared" si="224"/>
        <v>0</v>
      </c>
      <c r="DL183" s="4">
        <f t="shared" si="225"/>
        <v>45287</v>
      </c>
      <c r="DM183" s="112">
        <f t="shared" ca="1" si="226"/>
        <v>0</v>
      </c>
      <c r="DN183" s="112">
        <f t="shared" si="227"/>
        <v>0</v>
      </c>
      <c r="DO183" s="4">
        <f t="shared" si="228"/>
        <v>45287</v>
      </c>
      <c r="DP183" s="112">
        <f t="shared" ca="1" si="229"/>
        <v>0</v>
      </c>
      <c r="DQ183" s="112">
        <f t="shared" si="230"/>
        <v>0</v>
      </c>
      <c r="DR183" s="4">
        <f t="shared" si="231"/>
        <v>45287</v>
      </c>
      <c r="DS183" s="112">
        <f t="shared" ca="1" si="232"/>
        <v>0</v>
      </c>
      <c r="DT183" s="112">
        <f t="shared" si="233"/>
        <v>0</v>
      </c>
      <c r="DU183" s="4">
        <f t="shared" si="234"/>
        <v>45287</v>
      </c>
      <c r="DV183" s="112">
        <f t="shared" si="235"/>
        <v>0</v>
      </c>
      <c r="DW183" s="112">
        <f t="shared" si="236"/>
        <v>0</v>
      </c>
    </row>
    <row r="184" spans="2:127" x14ac:dyDescent="0.25">
      <c r="B184" s="74">
        <f t="shared" si="254"/>
        <v>183</v>
      </c>
      <c r="C184" s="84">
        <f t="shared" si="247"/>
        <v>0</v>
      </c>
      <c r="D184" s="84">
        <f t="shared" si="247"/>
        <v>0</v>
      </c>
      <c r="E184" s="84">
        <f t="shared" si="247"/>
        <v>0</v>
      </c>
      <c r="F184" s="84">
        <f t="shared" si="247"/>
        <v>0</v>
      </c>
      <c r="H184" s="75">
        <f t="shared" si="248"/>
        <v>183</v>
      </c>
      <c r="I184" s="77">
        <f t="shared" si="249"/>
        <v>0</v>
      </c>
      <c r="J184" s="77">
        <f t="shared" si="250"/>
        <v>0</v>
      </c>
      <c r="K184" s="77">
        <f t="shared" si="251"/>
        <v>0</v>
      </c>
      <c r="L184" s="77">
        <f t="shared" si="252"/>
        <v>0</v>
      </c>
      <c r="M184" s="77">
        <f t="shared" si="253"/>
        <v>0</v>
      </c>
      <c r="Q184" s="4">
        <f t="shared" si="183"/>
        <v>45288</v>
      </c>
      <c r="R184" s="24">
        <f t="shared" si="184"/>
        <v>0</v>
      </c>
      <c r="S184" s="25">
        <f t="shared" si="185"/>
        <v>0</v>
      </c>
      <c r="T184" s="24">
        <f t="shared" si="186"/>
        <v>0</v>
      </c>
      <c r="U184" s="25">
        <f t="shared" si="187"/>
        <v>0</v>
      </c>
      <c r="V184" s="24">
        <f t="shared" si="188"/>
        <v>0</v>
      </c>
      <c r="W184" s="25">
        <f t="shared" si="189"/>
        <v>0</v>
      </c>
      <c r="X184" s="24">
        <f t="shared" si="190"/>
        <v>0</v>
      </c>
      <c r="Y184" s="26">
        <f t="shared" si="191"/>
        <v>0</v>
      </c>
      <c r="Z184" s="27">
        <f t="shared" si="192"/>
        <v>0</v>
      </c>
      <c r="AA184" s="28">
        <f t="shared" si="193"/>
        <v>45288</v>
      </c>
      <c r="AB184" s="24">
        <f t="shared" si="194"/>
        <v>0</v>
      </c>
      <c r="AC184" s="25">
        <f t="shared" si="195"/>
        <v>0</v>
      </c>
      <c r="AD184" s="28">
        <f t="shared" si="196"/>
        <v>45288</v>
      </c>
      <c r="AE184" s="24">
        <f t="shared" si="197"/>
        <v>0</v>
      </c>
      <c r="AF184" s="25">
        <f t="shared" si="198"/>
        <v>0</v>
      </c>
      <c r="AG184" s="28">
        <f t="shared" si="199"/>
        <v>45288</v>
      </c>
      <c r="AH184" s="24">
        <f t="shared" si="200"/>
        <v>0</v>
      </c>
      <c r="AI184" s="25">
        <f t="shared" si="201"/>
        <v>0</v>
      </c>
      <c r="AJ184" s="28">
        <f t="shared" si="202"/>
        <v>45288</v>
      </c>
      <c r="AK184" s="24">
        <f t="shared" si="203"/>
        <v>0</v>
      </c>
      <c r="AL184" s="25">
        <f t="shared" si="204"/>
        <v>0</v>
      </c>
      <c r="AM184" s="29">
        <f t="shared" si="205"/>
        <v>0</v>
      </c>
      <c r="AN184" s="28">
        <f t="shared" si="206"/>
        <v>45288</v>
      </c>
      <c r="AO184" s="373">
        <f t="shared" si="175"/>
        <v>0</v>
      </c>
      <c r="AP184" s="374">
        <f t="shared" si="176"/>
        <v>0</v>
      </c>
      <c r="AQ184" s="27">
        <f t="shared" si="177"/>
        <v>0</v>
      </c>
      <c r="AR184" s="25">
        <f t="shared" si="178"/>
        <v>0</v>
      </c>
      <c r="AS184" s="25">
        <f t="shared" si="179"/>
        <v>0</v>
      </c>
      <c r="AT184" s="25">
        <f t="shared" si="180"/>
        <v>0</v>
      </c>
      <c r="AU184" s="29">
        <f t="shared" si="238"/>
        <v>0</v>
      </c>
      <c r="AV184" s="27">
        <f t="shared" si="207"/>
        <v>0</v>
      </c>
      <c r="AW184" s="27">
        <f t="shared" si="208"/>
        <v>0</v>
      </c>
      <c r="AX184" s="27">
        <f t="shared" si="209"/>
        <v>0</v>
      </c>
      <c r="AY184" s="27">
        <f t="shared" si="210"/>
        <v>0</v>
      </c>
      <c r="BH184" s="2">
        <f t="shared" si="211"/>
        <v>0</v>
      </c>
      <c r="BI184" s="298" t="str">
        <f t="shared" si="212"/>
        <v/>
      </c>
      <c r="BJ184" s="298" t="str">
        <f t="shared" si="181"/>
        <v/>
      </c>
      <c r="BQ184" s="4">
        <f t="shared" si="213"/>
        <v>45288</v>
      </c>
      <c r="BR184" s="112">
        <f t="shared" si="214"/>
        <v>0</v>
      </c>
      <c r="BS184" s="112">
        <f t="shared" si="215"/>
        <v>0</v>
      </c>
      <c r="BT184" s="112">
        <f t="shared" si="216"/>
        <v>0</v>
      </c>
      <c r="BU184" s="112">
        <f t="shared" si="217"/>
        <v>0</v>
      </c>
      <c r="BV184" s="112">
        <f t="shared" si="218"/>
        <v>0</v>
      </c>
      <c r="CI184" s="4">
        <f t="shared" si="219"/>
        <v>45288</v>
      </c>
      <c r="CJ184" s="50">
        <f ca="1">IF($BH184=0,IF($CO184="",CJ183+R184,IF('283'!$K$251=1,VLOOKUP($CO184,PerStBal,2)+R184,IF('283'!$K$253=1,(VLOOKUP($CO184,PerPortion,2)*VLOOKUP($CO184,PerStBal,6))+R184,GL!BS184))),0)</f>
        <v>0</v>
      </c>
      <c r="CK184" s="425">
        <f ca="1">IF($BH184=0,IF($CO184="",CK183+T184,IF('283'!$K$251=1,IF(mname2&lt;&gt;"",VLOOKUP($CO184,PerStBal,3)+T184,0),IF('283'!$K$253=1,(VLOOKUP($CO184,PerPortion,3)*VLOOKUP($CO184,PerStBal,6))+T184,GL!BT184))),0)</f>
        <v>0</v>
      </c>
      <c r="CL184" s="425">
        <f ca="1">IF($BH184=0,IF($CO184="",CL183+V184,IF('283'!$K$251=1,IF(mname3&lt;&gt;"",VLOOKUP($CO184,PerStBal,4)+V184,0),IF('283'!$K$253=1,(VLOOKUP($CO184,PerPortion,4)*VLOOKUP($CO184,PerStBal,6))+V184,GL!BU184))),0)</f>
        <v>0</v>
      </c>
      <c r="CM184" s="425">
        <f ca="1">IF($BH184=0,IF($CO184="",CM183+X184,IF('283'!$K$251=1,IF(mname4&lt;&gt;"",VLOOKUP($CO184,PerStBal,5)+X184,0),IF('283'!$K$253=1,(VLOOKUP($CO184,PerPortion,5)*VLOOKUP($CO184,PerStBal,6))+X184,GL!BV184))),0)</f>
        <v>0</v>
      </c>
      <c r="CN184" s="50">
        <f t="shared" ca="1" si="220"/>
        <v>0</v>
      </c>
      <c r="CO184" s="4" t="str">
        <f t="shared" ca="1" si="221"/>
        <v/>
      </c>
      <c r="CP184" s="377">
        <f t="shared" si="182"/>
        <v>0</v>
      </c>
      <c r="DI184" s="4">
        <f t="shared" si="222"/>
        <v>45288</v>
      </c>
      <c r="DJ184" s="112">
        <f t="shared" ca="1" si="223"/>
        <v>0</v>
      </c>
      <c r="DK184" s="112">
        <f t="shared" si="224"/>
        <v>0</v>
      </c>
      <c r="DL184" s="4">
        <f t="shared" si="225"/>
        <v>45288</v>
      </c>
      <c r="DM184" s="112">
        <f t="shared" ca="1" si="226"/>
        <v>0</v>
      </c>
      <c r="DN184" s="112">
        <f t="shared" si="227"/>
        <v>0</v>
      </c>
      <c r="DO184" s="4">
        <f t="shared" si="228"/>
        <v>45288</v>
      </c>
      <c r="DP184" s="112">
        <f t="shared" ca="1" si="229"/>
        <v>0</v>
      </c>
      <c r="DQ184" s="112">
        <f t="shared" si="230"/>
        <v>0</v>
      </c>
      <c r="DR184" s="4">
        <f t="shared" si="231"/>
        <v>45288</v>
      </c>
      <c r="DS184" s="112">
        <f t="shared" ca="1" si="232"/>
        <v>0</v>
      </c>
      <c r="DT184" s="112">
        <f t="shared" si="233"/>
        <v>0</v>
      </c>
      <c r="DU184" s="4">
        <f t="shared" si="234"/>
        <v>45288</v>
      </c>
      <c r="DV184" s="112">
        <f t="shared" si="235"/>
        <v>0</v>
      </c>
      <c r="DW184" s="112">
        <f t="shared" si="236"/>
        <v>0</v>
      </c>
    </row>
    <row r="185" spans="2:127" x14ac:dyDescent="0.25">
      <c r="B185" s="74">
        <f t="shared" si="254"/>
        <v>183</v>
      </c>
      <c r="C185" s="84">
        <f t="shared" si="247"/>
        <v>0</v>
      </c>
      <c r="D185" s="84">
        <f t="shared" si="247"/>
        <v>0</v>
      </c>
      <c r="E185" s="84">
        <f t="shared" si="247"/>
        <v>0</v>
      </c>
      <c r="F185" s="84">
        <f t="shared" si="247"/>
        <v>0</v>
      </c>
      <c r="H185" s="75">
        <f t="shared" si="248"/>
        <v>183</v>
      </c>
      <c r="I185" s="77">
        <f t="shared" si="249"/>
        <v>0</v>
      </c>
      <c r="J185" s="77">
        <f t="shared" si="250"/>
        <v>0</v>
      </c>
      <c r="K185" s="77">
        <f t="shared" si="251"/>
        <v>0</v>
      </c>
      <c r="L185" s="77">
        <f t="shared" si="252"/>
        <v>0</v>
      </c>
      <c r="M185" s="77">
        <f t="shared" si="253"/>
        <v>0</v>
      </c>
      <c r="Q185" s="4">
        <f t="shared" si="183"/>
        <v>45289</v>
      </c>
      <c r="R185" s="24">
        <f t="shared" si="184"/>
        <v>0</v>
      </c>
      <c r="S185" s="25">
        <f t="shared" si="185"/>
        <v>0</v>
      </c>
      <c r="T185" s="24">
        <f t="shared" si="186"/>
        <v>0</v>
      </c>
      <c r="U185" s="25">
        <f t="shared" si="187"/>
        <v>0</v>
      </c>
      <c r="V185" s="24">
        <f t="shared" si="188"/>
        <v>0</v>
      </c>
      <c r="W185" s="25">
        <f t="shared" si="189"/>
        <v>0</v>
      </c>
      <c r="X185" s="24">
        <f t="shared" si="190"/>
        <v>0</v>
      </c>
      <c r="Y185" s="26">
        <f t="shared" si="191"/>
        <v>0</v>
      </c>
      <c r="Z185" s="27">
        <f t="shared" si="192"/>
        <v>0</v>
      </c>
      <c r="AA185" s="28">
        <f t="shared" si="193"/>
        <v>45289</v>
      </c>
      <c r="AB185" s="24">
        <f t="shared" si="194"/>
        <v>0</v>
      </c>
      <c r="AC185" s="25">
        <f t="shared" si="195"/>
        <v>0</v>
      </c>
      <c r="AD185" s="28">
        <f t="shared" si="196"/>
        <v>45289</v>
      </c>
      <c r="AE185" s="24">
        <f t="shared" si="197"/>
        <v>0</v>
      </c>
      <c r="AF185" s="25">
        <f t="shared" si="198"/>
        <v>0</v>
      </c>
      <c r="AG185" s="28">
        <f t="shared" si="199"/>
        <v>45289</v>
      </c>
      <c r="AH185" s="24">
        <f t="shared" si="200"/>
        <v>0</v>
      </c>
      <c r="AI185" s="25">
        <f t="shared" si="201"/>
        <v>0</v>
      </c>
      <c r="AJ185" s="28">
        <f t="shared" si="202"/>
        <v>45289</v>
      </c>
      <c r="AK185" s="24">
        <f t="shared" si="203"/>
        <v>0</v>
      </c>
      <c r="AL185" s="25">
        <f t="shared" si="204"/>
        <v>0</v>
      </c>
      <c r="AM185" s="29">
        <f t="shared" si="205"/>
        <v>0</v>
      </c>
      <c r="AN185" s="28">
        <f t="shared" si="206"/>
        <v>45289</v>
      </c>
      <c r="AO185" s="373">
        <f t="shared" si="175"/>
        <v>0</v>
      </c>
      <c r="AP185" s="374">
        <f t="shared" si="176"/>
        <v>0</v>
      </c>
      <c r="AQ185" s="27">
        <f t="shared" si="177"/>
        <v>0</v>
      </c>
      <c r="AR185" s="25">
        <f t="shared" si="178"/>
        <v>0</v>
      </c>
      <c r="AS185" s="25">
        <f t="shared" si="179"/>
        <v>0</v>
      </c>
      <c r="AT185" s="25">
        <f t="shared" si="180"/>
        <v>0</v>
      </c>
      <c r="AU185" s="29">
        <f t="shared" si="238"/>
        <v>0</v>
      </c>
      <c r="AV185" s="27">
        <f t="shared" si="207"/>
        <v>0</v>
      </c>
      <c r="AW185" s="27">
        <f t="shared" si="208"/>
        <v>0</v>
      </c>
      <c r="AX185" s="27">
        <f t="shared" si="209"/>
        <v>0</v>
      </c>
      <c r="AY185" s="27">
        <f t="shared" si="210"/>
        <v>0</v>
      </c>
      <c r="BH185" s="2">
        <f t="shared" si="211"/>
        <v>0</v>
      </c>
      <c r="BI185" s="298" t="str">
        <f t="shared" si="212"/>
        <v/>
      </c>
      <c r="BJ185" s="298" t="str">
        <f t="shared" si="181"/>
        <v/>
      </c>
      <c r="BQ185" s="4">
        <f t="shared" si="213"/>
        <v>45289</v>
      </c>
      <c r="BR185" s="112">
        <f t="shared" si="214"/>
        <v>0</v>
      </c>
      <c r="BS185" s="112">
        <f t="shared" si="215"/>
        <v>0</v>
      </c>
      <c r="BT185" s="112">
        <f t="shared" si="216"/>
        <v>0</v>
      </c>
      <c r="BU185" s="112">
        <f t="shared" si="217"/>
        <v>0</v>
      </c>
      <c r="BV185" s="112">
        <f t="shared" si="218"/>
        <v>0</v>
      </c>
      <c r="CI185" s="4">
        <f t="shared" si="219"/>
        <v>45289</v>
      </c>
      <c r="CJ185" s="50">
        <f ca="1">IF($BH185=0,IF($CO185="",CJ184+R185,IF('283'!$K$251=1,VLOOKUP($CO185,PerStBal,2)+R185,IF('283'!$K$253=1,(VLOOKUP($CO185,PerPortion,2)*VLOOKUP($CO185,PerStBal,6))+R185,GL!BS185))),0)</f>
        <v>0</v>
      </c>
      <c r="CK185" s="425">
        <f ca="1">IF($BH185=0,IF($CO185="",CK184+T185,IF('283'!$K$251=1,IF(mname2&lt;&gt;"",VLOOKUP($CO185,PerStBal,3)+T185,0),IF('283'!$K$253=1,(VLOOKUP($CO185,PerPortion,3)*VLOOKUP($CO185,PerStBal,6))+T185,GL!BT185))),0)</f>
        <v>0</v>
      </c>
      <c r="CL185" s="425">
        <f ca="1">IF($BH185=0,IF($CO185="",CL184+V185,IF('283'!$K$251=1,IF(mname3&lt;&gt;"",VLOOKUP($CO185,PerStBal,4)+V185,0),IF('283'!$K$253=1,(VLOOKUP($CO185,PerPortion,4)*VLOOKUP($CO185,PerStBal,6))+V185,GL!BU185))),0)</f>
        <v>0</v>
      </c>
      <c r="CM185" s="425">
        <f ca="1">IF($BH185=0,IF($CO185="",CM184+X185,IF('283'!$K$251=1,IF(mname4&lt;&gt;"",VLOOKUP($CO185,PerStBal,5)+X185,0),IF('283'!$K$253=1,(VLOOKUP($CO185,PerPortion,5)*VLOOKUP($CO185,PerStBal,6))+X185,GL!BV185))),0)</f>
        <v>0</v>
      </c>
      <c r="CN185" s="50">
        <f t="shared" ca="1" si="220"/>
        <v>0</v>
      </c>
      <c r="CO185" s="4" t="str">
        <f t="shared" ca="1" si="221"/>
        <v/>
      </c>
      <c r="CP185" s="377">
        <f t="shared" si="182"/>
        <v>0</v>
      </c>
      <c r="DI185" s="4">
        <f t="shared" si="222"/>
        <v>45289</v>
      </c>
      <c r="DJ185" s="112">
        <f t="shared" ca="1" si="223"/>
        <v>0</v>
      </c>
      <c r="DK185" s="112">
        <f t="shared" si="224"/>
        <v>0</v>
      </c>
      <c r="DL185" s="4">
        <f t="shared" si="225"/>
        <v>45289</v>
      </c>
      <c r="DM185" s="112">
        <f t="shared" ca="1" si="226"/>
        <v>0</v>
      </c>
      <c r="DN185" s="112">
        <f t="shared" si="227"/>
        <v>0</v>
      </c>
      <c r="DO185" s="4">
        <f t="shared" si="228"/>
        <v>45289</v>
      </c>
      <c r="DP185" s="112">
        <f t="shared" ca="1" si="229"/>
        <v>0</v>
      </c>
      <c r="DQ185" s="112">
        <f t="shared" si="230"/>
        <v>0</v>
      </c>
      <c r="DR185" s="4">
        <f t="shared" si="231"/>
        <v>45289</v>
      </c>
      <c r="DS185" s="112">
        <f t="shared" ca="1" si="232"/>
        <v>0</v>
      </c>
      <c r="DT185" s="112">
        <f t="shared" si="233"/>
        <v>0</v>
      </c>
      <c r="DU185" s="4">
        <f t="shared" si="234"/>
        <v>45289</v>
      </c>
      <c r="DV185" s="112">
        <f t="shared" si="235"/>
        <v>0</v>
      </c>
      <c r="DW185" s="112">
        <f t="shared" si="236"/>
        <v>0</v>
      </c>
    </row>
    <row r="186" spans="2:127" x14ac:dyDescent="0.25">
      <c r="B186" s="74">
        <f t="shared" si="254"/>
        <v>183</v>
      </c>
      <c r="C186" s="84">
        <f t="shared" si="247"/>
        <v>0</v>
      </c>
      <c r="D186" s="84">
        <f t="shared" si="247"/>
        <v>0</v>
      </c>
      <c r="E186" s="84">
        <f t="shared" si="247"/>
        <v>0</v>
      </c>
      <c r="F186" s="84">
        <f t="shared" si="247"/>
        <v>0</v>
      </c>
      <c r="H186" s="75">
        <f t="shared" si="248"/>
        <v>183</v>
      </c>
      <c r="I186" s="77">
        <f t="shared" si="249"/>
        <v>0</v>
      </c>
      <c r="J186" s="77">
        <f t="shared" si="250"/>
        <v>0</v>
      </c>
      <c r="K186" s="77">
        <f t="shared" si="251"/>
        <v>0</v>
      </c>
      <c r="L186" s="77">
        <f t="shared" si="252"/>
        <v>0</v>
      </c>
      <c r="M186" s="77">
        <f t="shared" si="253"/>
        <v>0</v>
      </c>
      <c r="Q186" s="4">
        <f t="shared" si="183"/>
        <v>45290</v>
      </c>
      <c r="R186" s="24">
        <f t="shared" si="184"/>
        <v>0</v>
      </c>
      <c r="S186" s="25">
        <f t="shared" si="185"/>
        <v>0</v>
      </c>
      <c r="T186" s="24">
        <f t="shared" si="186"/>
        <v>0</v>
      </c>
      <c r="U186" s="25">
        <f t="shared" si="187"/>
        <v>0</v>
      </c>
      <c r="V186" s="24">
        <f t="shared" si="188"/>
        <v>0</v>
      </c>
      <c r="W186" s="25">
        <f t="shared" si="189"/>
        <v>0</v>
      </c>
      <c r="X186" s="24">
        <f t="shared" si="190"/>
        <v>0</v>
      </c>
      <c r="Y186" s="26">
        <f t="shared" si="191"/>
        <v>0</v>
      </c>
      <c r="Z186" s="27">
        <f t="shared" si="192"/>
        <v>0</v>
      </c>
      <c r="AA186" s="28">
        <f t="shared" si="193"/>
        <v>45290</v>
      </c>
      <c r="AB186" s="24">
        <f t="shared" si="194"/>
        <v>0</v>
      </c>
      <c r="AC186" s="25">
        <f t="shared" si="195"/>
        <v>0</v>
      </c>
      <c r="AD186" s="28">
        <f t="shared" si="196"/>
        <v>45290</v>
      </c>
      <c r="AE186" s="24">
        <f t="shared" si="197"/>
        <v>0</v>
      </c>
      <c r="AF186" s="25">
        <f t="shared" si="198"/>
        <v>0</v>
      </c>
      <c r="AG186" s="28">
        <f t="shared" si="199"/>
        <v>45290</v>
      </c>
      <c r="AH186" s="24">
        <f t="shared" si="200"/>
        <v>0</v>
      </c>
      <c r="AI186" s="25">
        <f t="shared" si="201"/>
        <v>0</v>
      </c>
      <c r="AJ186" s="28">
        <f t="shared" si="202"/>
        <v>45290</v>
      </c>
      <c r="AK186" s="24">
        <f t="shared" si="203"/>
        <v>0</v>
      </c>
      <c r="AL186" s="25">
        <f t="shared" si="204"/>
        <v>0</v>
      </c>
      <c r="AM186" s="29">
        <f t="shared" si="205"/>
        <v>0</v>
      </c>
      <c r="AN186" s="28">
        <f t="shared" si="206"/>
        <v>45290</v>
      </c>
      <c r="AO186" s="373">
        <f t="shared" si="175"/>
        <v>0</v>
      </c>
      <c r="AP186" s="374">
        <f t="shared" si="176"/>
        <v>0</v>
      </c>
      <c r="AQ186" s="27">
        <f t="shared" si="177"/>
        <v>0</v>
      </c>
      <c r="AR186" s="25">
        <f t="shared" si="178"/>
        <v>0</v>
      </c>
      <c r="AS186" s="25">
        <f t="shared" si="179"/>
        <v>0</v>
      </c>
      <c r="AT186" s="25">
        <f t="shared" si="180"/>
        <v>0</v>
      </c>
      <c r="AU186" s="29">
        <f t="shared" si="238"/>
        <v>0</v>
      </c>
      <c r="AV186" s="27">
        <f t="shared" si="207"/>
        <v>0</v>
      </c>
      <c r="AW186" s="27">
        <f t="shared" si="208"/>
        <v>0</v>
      </c>
      <c r="AX186" s="27">
        <f t="shared" si="209"/>
        <v>0</v>
      </c>
      <c r="AY186" s="27">
        <f t="shared" si="210"/>
        <v>0</v>
      </c>
      <c r="BH186" s="2">
        <f t="shared" si="211"/>
        <v>0</v>
      </c>
      <c r="BI186" s="298" t="str">
        <f t="shared" si="212"/>
        <v/>
      </c>
      <c r="BJ186" s="298" t="str">
        <f t="shared" si="181"/>
        <v/>
      </c>
      <c r="BQ186" s="4">
        <f t="shared" si="213"/>
        <v>45290</v>
      </c>
      <c r="BR186" s="112">
        <f t="shared" si="214"/>
        <v>0</v>
      </c>
      <c r="BS186" s="112">
        <f t="shared" si="215"/>
        <v>0</v>
      </c>
      <c r="BT186" s="112">
        <f t="shared" si="216"/>
        <v>0</v>
      </c>
      <c r="BU186" s="112">
        <f t="shared" si="217"/>
        <v>0</v>
      </c>
      <c r="BV186" s="112">
        <f t="shared" si="218"/>
        <v>0</v>
      </c>
      <c r="CI186" s="4">
        <f t="shared" si="219"/>
        <v>45290</v>
      </c>
      <c r="CJ186" s="50">
        <f ca="1">IF($BH186=0,IF($CO186="",CJ185+R186,IF('283'!$K$251=1,VLOOKUP($CO186,PerStBal,2)+R186,IF('283'!$K$253=1,(VLOOKUP($CO186,PerPortion,2)*VLOOKUP($CO186,PerStBal,6))+R186,GL!BS186))),0)</f>
        <v>0</v>
      </c>
      <c r="CK186" s="425">
        <f ca="1">IF($BH186=0,IF($CO186="",CK185+T186,IF('283'!$K$251=1,IF(mname2&lt;&gt;"",VLOOKUP($CO186,PerStBal,3)+T186,0),IF('283'!$K$253=1,(VLOOKUP($CO186,PerPortion,3)*VLOOKUP($CO186,PerStBal,6))+T186,GL!BT186))),0)</f>
        <v>0</v>
      </c>
      <c r="CL186" s="425">
        <f ca="1">IF($BH186=0,IF($CO186="",CL185+V186,IF('283'!$K$251=1,IF(mname3&lt;&gt;"",VLOOKUP($CO186,PerStBal,4)+V186,0),IF('283'!$K$253=1,(VLOOKUP($CO186,PerPortion,4)*VLOOKUP($CO186,PerStBal,6))+V186,GL!BU186))),0)</f>
        <v>0</v>
      </c>
      <c r="CM186" s="425">
        <f ca="1">IF($BH186=0,IF($CO186="",CM185+X186,IF('283'!$K$251=1,IF(mname4&lt;&gt;"",VLOOKUP($CO186,PerStBal,5)+X186,0),IF('283'!$K$253=1,(VLOOKUP($CO186,PerPortion,5)*VLOOKUP($CO186,PerStBal,6))+X186,GL!BV186))),0)</f>
        <v>0</v>
      </c>
      <c r="CN186" s="50">
        <f t="shared" ca="1" si="220"/>
        <v>0</v>
      </c>
      <c r="CO186" s="4" t="str">
        <f t="shared" ca="1" si="221"/>
        <v/>
      </c>
      <c r="CP186" s="377">
        <f t="shared" si="182"/>
        <v>0</v>
      </c>
      <c r="DI186" s="4">
        <f t="shared" si="222"/>
        <v>45290</v>
      </c>
      <c r="DJ186" s="112">
        <f t="shared" ca="1" si="223"/>
        <v>0</v>
      </c>
      <c r="DK186" s="112">
        <f t="shared" si="224"/>
        <v>0</v>
      </c>
      <c r="DL186" s="4">
        <f t="shared" si="225"/>
        <v>45290</v>
      </c>
      <c r="DM186" s="112">
        <f t="shared" ca="1" si="226"/>
        <v>0</v>
      </c>
      <c r="DN186" s="112">
        <f t="shared" si="227"/>
        <v>0</v>
      </c>
      <c r="DO186" s="4">
        <f t="shared" si="228"/>
        <v>45290</v>
      </c>
      <c r="DP186" s="112">
        <f t="shared" ca="1" si="229"/>
        <v>0</v>
      </c>
      <c r="DQ186" s="112">
        <f t="shared" si="230"/>
        <v>0</v>
      </c>
      <c r="DR186" s="4">
        <f t="shared" si="231"/>
        <v>45290</v>
      </c>
      <c r="DS186" s="112">
        <f t="shared" ca="1" si="232"/>
        <v>0</v>
      </c>
      <c r="DT186" s="112">
        <f t="shared" si="233"/>
        <v>0</v>
      </c>
      <c r="DU186" s="4">
        <f t="shared" si="234"/>
        <v>45290</v>
      </c>
      <c r="DV186" s="112">
        <f t="shared" si="235"/>
        <v>0</v>
      </c>
      <c r="DW186" s="112">
        <f t="shared" si="236"/>
        <v>0</v>
      </c>
    </row>
    <row r="187" spans="2:127" x14ac:dyDescent="0.25">
      <c r="B187" s="74">
        <f t="shared" si="254"/>
        <v>183</v>
      </c>
      <c r="C187" s="84">
        <f t="shared" si="247"/>
        <v>0</v>
      </c>
      <c r="D187" s="84">
        <f t="shared" si="247"/>
        <v>0</v>
      </c>
      <c r="E187" s="84">
        <f t="shared" si="247"/>
        <v>0</v>
      </c>
      <c r="F187" s="84">
        <f t="shared" si="247"/>
        <v>0</v>
      </c>
      <c r="H187" s="75">
        <f t="shared" si="248"/>
        <v>183</v>
      </c>
      <c r="I187" s="77">
        <f t="shared" si="249"/>
        <v>0</v>
      </c>
      <c r="J187" s="77">
        <f t="shared" si="250"/>
        <v>0</v>
      </c>
      <c r="K187" s="77">
        <f t="shared" si="251"/>
        <v>0</v>
      </c>
      <c r="L187" s="77">
        <f t="shared" si="252"/>
        <v>0</v>
      </c>
      <c r="M187" s="77">
        <f t="shared" si="253"/>
        <v>0</v>
      </c>
      <c r="Q187" s="4">
        <f t="shared" si="183"/>
        <v>45291</v>
      </c>
      <c r="R187" s="24">
        <f t="shared" si="184"/>
        <v>0</v>
      </c>
      <c r="S187" s="25">
        <f t="shared" si="185"/>
        <v>0</v>
      </c>
      <c r="T187" s="24">
        <f t="shared" si="186"/>
        <v>0</v>
      </c>
      <c r="U187" s="25">
        <f t="shared" si="187"/>
        <v>0</v>
      </c>
      <c r="V187" s="24">
        <f t="shared" si="188"/>
        <v>0</v>
      </c>
      <c r="W187" s="25">
        <f t="shared" si="189"/>
        <v>0</v>
      </c>
      <c r="X187" s="24">
        <f t="shared" si="190"/>
        <v>0</v>
      </c>
      <c r="Y187" s="26">
        <f t="shared" si="191"/>
        <v>0</v>
      </c>
      <c r="Z187" s="27">
        <f t="shared" si="192"/>
        <v>0</v>
      </c>
      <c r="AA187" s="28">
        <f t="shared" si="193"/>
        <v>45291</v>
      </c>
      <c r="AB187" s="24">
        <f t="shared" si="194"/>
        <v>0</v>
      </c>
      <c r="AC187" s="25">
        <f t="shared" si="195"/>
        <v>0</v>
      </c>
      <c r="AD187" s="28">
        <f t="shared" si="196"/>
        <v>45291</v>
      </c>
      <c r="AE187" s="24">
        <f t="shared" si="197"/>
        <v>0</v>
      </c>
      <c r="AF187" s="25">
        <f t="shared" si="198"/>
        <v>0</v>
      </c>
      <c r="AG187" s="28">
        <f t="shared" si="199"/>
        <v>45291</v>
      </c>
      <c r="AH187" s="24">
        <f t="shared" si="200"/>
        <v>0</v>
      </c>
      <c r="AI187" s="25">
        <f t="shared" si="201"/>
        <v>0</v>
      </c>
      <c r="AJ187" s="28">
        <f t="shared" si="202"/>
        <v>45291</v>
      </c>
      <c r="AK187" s="24">
        <f t="shared" si="203"/>
        <v>0</v>
      </c>
      <c r="AL187" s="25">
        <f t="shared" si="204"/>
        <v>0</v>
      </c>
      <c r="AM187" s="29">
        <f t="shared" si="205"/>
        <v>0</v>
      </c>
      <c r="AN187" s="28">
        <f t="shared" si="206"/>
        <v>45291</v>
      </c>
      <c r="AO187" s="373">
        <f t="shared" si="175"/>
        <v>0</v>
      </c>
      <c r="AP187" s="374">
        <f t="shared" si="176"/>
        <v>0</v>
      </c>
      <c r="AQ187" s="27">
        <f t="shared" si="177"/>
        <v>0</v>
      </c>
      <c r="AR187" s="25">
        <f t="shared" si="178"/>
        <v>0</v>
      </c>
      <c r="AS187" s="25">
        <f t="shared" si="179"/>
        <v>0</v>
      </c>
      <c r="AT187" s="25">
        <f t="shared" si="180"/>
        <v>0</v>
      </c>
      <c r="AU187" s="29">
        <f t="shared" si="238"/>
        <v>0</v>
      </c>
      <c r="AV187" s="27">
        <f t="shared" si="207"/>
        <v>0</v>
      </c>
      <c r="AW187" s="27">
        <f t="shared" si="208"/>
        <v>0</v>
      </c>
      <c r="AX187" s="27">
        <f t="shared" si="209"/>
        <v>0</v>
      </c>
      <c r="AY187" s="27">
        <f t="shared" si="210"/>
        <v>0</v>
      </c>
      <c r="BH187" s="2">
        <f t="shared" si="211"/>
        <v>0</v>
      </c>
      <c r="BI187" s="298" t="str">
        <f t="shared" si="212"/>
        <v/>
      </c>
      <c r="BJ187" s="298" t="str">
        <f t="shared" si="181"/>
        <v/>
      </c>
      <c r="BQ187" s="4">
        <f t="shared" si="213"/>
        <v>45291</v>
      </c>
      <c r="BR187" s="112">
        <f t="shared" si="214"/>
        <v>0</v>
      </c>
      <c r="BS187" s="112">
        <f t="shared" si="215"/>
        <v>0</v>
      </c>
      <c r="BT187" s="112">
        <f t="shared" si="216"/>
        <v>0</v>
      </c>
      <c r="BU187" s="112">
        <f t="shared" si="217"/>
        <v>0</v>
      </c>
      <c r="BV187" s="112">
        <f t="shared" si="218"/>
        <v>0</v>
      </c>
      <c r="CI187" s="4">
        <f t="shared" si="219"/>
        <v>45291</v>
      </c>
      <c r="CJ187" s="50">
        <f ca="1">IF($BH187=0,IF($CO187="",CJ186+R187,IF('283'!$K$251=1,VLOOKUP($CO187,PerStBal,2)+R187,IF('283'!$K$253=1,(VLOOKUP($CO187,PerPortion,2)*VLOOKUP($CO187,PerStBal,6))+R187,GL!BS187))),0)</f>
        <v>0</v>
      </c>
      <c r="CK187" s="425">
        <f ca="1">IF($BH187=0,IF($CO187="",CK186+T187,IF('283'!$K$251=1,IF(mname2&lt;&gt;"",VLOOKUP($CO187,PerStBal,3)+T187,0),IF('283'!$K$253=1,(VLOOKUP($CO187,PerPortion,3)*VLOOKUP($CO187,PerStBal,6))+T187,GL!BT187))),0)</f>
        <v>0</v>
      </c>
      <c r="CL187" s="425">
        <f ca="1">IF($BH187=0,IF($CO187="",CL186+V187,IF('283'!$K$251=1,IF(mname3&lt;&gt;"",VLOOKUP($CO187,PerStBal,4)+V187,0),IF('283'!$K$253=1,(VLOOKUP($CO187,PerPortion,4)*VLOOKUP($CO187,PerStBal,6))+V187,GL!BU187))),0)</f>
        <v>0</v>
      </c>
      <c r="CM187" s="425">
        <f ca="1">IF($BH187=0,IF($CO187="",CM186+X187,IF('283'!$K$251=1,IF(mname4&lt;&gt;"",VLOOKUP($CO187,PerStBal,5)+X187,0),IF('283'!$K$253=1,(VLOOKUP($CO187,PerPortion,5)*VLOOKUP($CO187,PerStBal,6))+X187,GL!BV187))),0)</f>
        <v>0</v>
      </c>
      <c r="CN187" s="50">
        <f t="shared" ca="1" si="220"/>
        <v>0</v>
      </c>
      <c r="CO187" s="4" t="str">
        <f t="shared" ca="1" si="221"/>
        <v/>
      </c>
      <c r="CP187" s="377">
        <f t="shared" si="182"/>
        <v>0</v>
      </c>
      <c r="DI187" s="4">
        <f t="shared" si="222"/>
        <v>45291</v>
      </c>
      <c r="DJ187" s="112">
        <f t="shared" ca="1" si="223"/>
        <v>0</v>
      </c>
      <c r="DK187" s="112">
        <f t="shared" si="224"/>
        <v>0</v>
      </c>
      <c r="DL187" s="4">
        <f t="shared" si="225"/>
        <v>45291</v>
      </c>
      <c r="DM187" s="112">
        <f t="shared" ca="1" si="226"/>
        <v>0</v>
      </c>
      <c r="DN187" s="112">
        <f t="shared" si="227"/>
        <v>0</v>
      </c>
      <c r="DO187" s="4">
        <f t="shared" si="228"/>
        <v>45291</v>
      </c>
      <c r="DP187" s="112">
        <f t="shared" ca="1" si="229"/>
        <v>0</v>
      </c>
      <c r="DQ187" s="112">
        <f t="shared" si="230"/>
        <v>0</v>
      </c>
      <c r="DR187" s="4">
        <f t="shared" si="231"/>
        <v>45291</v>
      </c>
      <c r="DS187" s="112">
        <f t="shared" ca="1" si="232"/>
        <v>0</v>
      </c>
      <c r="DT187" s="112">
        <f t="shared" si="233"/>
        <v>0</v>
      </c>
      <c r="DU187" s="4">
        <f t="shared" si="234"/>
        <v>45291</v>
      </c>
      <c r="DV187" s="112">
        <f t="shared" si="235"/>
        <v>0</v>
      </c>
      <c r="DW187" s="112">
        <f t="shared" si="236"/>
        <v>0</v>
      </c>
    </row>
    <row r="188" spans="2:127" x14ac:dyDescent="0.25">
      <c r="B188" s="74">
        <f t="shared" si="254"/>
        <v>183</v>
      </c>
      <c r="C188" s="84">
        <f t="shared" si="247"/>
        <v>0</v>
      </c>
      <c r="D188" s="84">
        <f t="shared" si="247"/>
        <v>0</v>
      </c>
      <c r="E188" s="84">
        <f t="shared" si="247"/>
        <v>0</v>
      </c>
      <c r="F188" s="84">
        <f t="shared" si="247"/>
        <v>0</v>
      </c>
      <c r="H188" s="75">
        <f t="shared" si="248"/>
        <v>183</v>
      </c>
      <c r="I188" s="77">
        <f t="shared" si="249"/>
        <v>0</v>
      </c>
      <c r="J188" s="77">
        <f t="shared" si="250"/>
        <v>0</v>
      </c>
      <c r="K188" s="77">
        <f t="shared" si="251"/>
        <v>0</v>
      </c>
      <c r="L188" s="77">
        <f t="shared" si="252"/>
        <v>0</v>
      </c>
      <c r="M188" s="77">
        <f t="shared" si="253"/>
        <v>0</v>
      </c>
      <c r="Q188" s="4">
        <f t="shared" si="183"/>
        <v>45292</v>
      </c>
      <c r="R188" s="24">
        <f t="shared" si="184"/>
        <v>0</v>
      </c>
      <c r="S188" s="25">
        <f t="shared" si="185"/>
        <v>0</v>
      </c>
      <c r="T188" s="24">
        <f t="shared" si="186"/>
        <v>0</v>
      </c>
      <c r="U188" s="25">
        <f t="shared" si="187"/>
        <v>0</v>
      </c>
      <c r="V188" s="24">
        <f t="shared" si="188"/>
        <v>0</v>
      </c>
      <c r="W188" s="25">
        <f t="shared" si="189"/>
        <v>0</v>
      </c>
      <c r="X188" s="24">
        <f t="shared" si="190"/>
        <v>0</v>
      </c>
      <c r="Y188" s="26">
        <f t="shared" si="191"/>
        <v>0</v>
      </c>
      <c r="Z188" s="27">
        <f t="shared" si="192"/>
        <v>0</v>
      </c>
      <c r="AA188" s="28">
        <f t="shared" si="193"/>
        <v>45292</v>
      </c>
      <c r="AB188" s="24">
        <f t="shared" si="194"/>
        <v>0</v>
      </c>
      <c r="AC188" s="25">
        <f t="shared" si="195"/>
        <v>0</v>
      </c>
      <c r="AD188" s="28">
        <f t="shared" si="196"/>
        <v>45292</v>
      </c>
      <c r="AE188" s="24">
        <f t="shared" si="197"/>
        <v>0</v>
      </c>
      <c r="AF188" s="25">
        <f t="shared" si="198"/>
        <v>0</v>
      </c>
      <c r="AG188" s="28">
        <f t="shared" si="199"/>
        <v>45292</v>
      </c>
      <c r="AH188" s="24">
        <f t="shared" si="200"/>
        <v>0</v>
      </c>
      <c r="AI188" s="25">
        <f t="shared" si="201"/>
        <v>0</v>
      </c>
      <c r="AJ188" s="28">
        <f t="shared" si="202"/>
        <v>45292</v>
      </c>
      <c r="AK188" s="24">
        <f t="shared" si="203"/>
        <v>0</v>
      </c>
      <c r="AL188" s="25">
        <f t="shared" si="204"/>
        <v>0</v>
      </c>
      <c r="AM188" s="29">
        <f t="shared" si="205"/>
        <v>0</v>
      </c>
      <c r="AN188" s="28">
        <f t="shared" si="206"/>
        <v>45292</v>
      </c>
      <c r="AO188" s="373">
        <f t="shared" si="175"/>
        <v>0</v>
      </c>
      <c r="AP188" s="374">
        <f t="shared" si="176"/>
        <v>0</v>
      </c>
      <c r="AQ188" s="27">
        <f t="shared" si="177"/>
        <v>0</v>
      </c>
      <c r="AR188" s="25">
        <f t="shared" si="178"/>
        <v>0</v>
      </c>
      <c r="AS188" s="25">
        <f t="shared" si="179"/>
        <v>0</v>
      </c>
      <c r="AT188" s="25">
        <f t="shared" si="180"/>
        <v>0</v>
      </c>
      <c r="AU188" s="29">
        <f t="shared" si="238"/>
        <v>0</v>
      </c>
      <c r="AV188" s="27">
        <f t="shared" si="207"/>
        <v>0</v>
      </c>
      <c r="AW188" s="27">
        <f t="shared" si="208"/>
        <v>0</v>
      </c>
      <c r="AX188" s="27">
        <f t="shared" si="209"/>
        <v>0</v>
      </c>
      <c r="AY188" s="27">
        <f t="shared" si="210"/>
        <v>0</v>
      </c>
      <c r="BH188" s="2">
        <f t="shared" si="211"/>
        <v>0</v>
      </c>
      <c r="BI188" s="298" t="str">
        <f t="shared" si="212"/>
        <v/>
      </c>
      <c r="BJ188" s="298" t="str">
        <f t="shared" si="181"/>
        <v/>
      </c>
      <c r="BQ188" s="4">
        <f t="shared" si="213"/>
        <v>45292</v>
      </c>
      <c r="BR188" s="112">
        <f t="shared" si="214"/>
        <v>0</v>
      </c>
      <c r="BS188" s="112">
        <f t="shared" si="215"/>
        <v>0</v>
      </c>
      <c r="BT188" s="112">
        <f t="shared" si="216"/>
        <v>0</v>
      </c>
      <c r="BU188" s="112">
        <f t="shared" si="217"/>
        <v>0</v>
      </c>
      <c r="BV188" s="112">
        <f t="shared" si="218"/>
        <v>0</v>
      </c>
      <c r="CI188" s="4">
        <f t="shared" si="219"/>
        <v>45292</v>
      </c>
      <c r="CJ188" s="50">
        <f ca="1">IF($BH188=0,IF($CO188="",CJ187+R188,IF('283'!$K$251=1,VLOOKUP($CO188,PerStBal,2)+R188,IF('283'!$K$253=1,(VLOOKUP($CO188,PerPortion,2)*VLOOKUP($CO188,PerStBal,6))+R188,GL!BS188))),0)</f>
        <v>0</v>
      </c>
      <c r="CK188" s="425">
        <f ca="1">IF($BH188=0,IF($CO188="",CK187+T188,IF('283'!$K$251=1,IF(mname2&lt;&gt;"",VLOOKUP($CO188,PerStBal,3)+T188,0),IF('283'!$K$253=1,(VLOOKUP($CO188,PerPortion,3)*VLOOKUP($CO188,PerStBal,6))+T188,GL!BT188))),0)</f>
        <v>0</v>
      </c>
      <c r="CL188" s="425">
        <f ca="1">IF($BH188=0,IF($CO188="",CL187+V188,IF('283'!$K$251=1,IF(mname3&lt;&gt;"",VLOOKUP($CO188,PerStBal,4)+V188,0),IF('283'!$K$253=1,(VLOOKUP($CO188,PerPortion,4)*VLOOKUP($CO188,PerStBal,6))+V188,GL!BU188))),0)</f>
        <v>0</v>
      </c>
      <c r="CM188" s="425">
        <f ca="1">IF($BH188=0,IF($CO188="",CM187+X188,IF('283'!$K$251=1,IF(mname4&lt;&gt;"",VLOOKUP($CO188,PerStBal,5)+X188,0),IF('283'!$K$253=1,(VLOOKUP($CO188,PerPortion,5)*VLOOKUP($CO188,PerStBal,6))+X188,GL!BV188))),0)</f>
        <v>0</v>
      </c>
      <c r="CN188" s="50">
        <f t="shared" ca="1" si="220"/>
        <v>0</v>
      </c>
      <c r="CO188" s="4" t="str">
        <f t="shared" ca="1" si="221"/>
        <v/>
      </c>
      <c r="CP188" s="377">
        <f t="shared" si="182"/>
        <v>0</v>
      </c>
      <c r="DI188" s="4">
        <f t="shared" si="222"/>
        <v>45292</v>
      </c>
      <c r="DJ188" s="112">
        <f t="shared" ca="1" si="223"/>
        <v>0</v>
      </c>
      <c r="DK188" s="112">
        <f t="shared" si="224"/>
        <v>0</v>
      </c>
      <c r="DL188" s="4">
        <f t="shared" si="225"/>
        <v>45292</v>
      </c>
      <c r="DM188" s="112">
        <f t="shared" ca="1" si="226"/>
        <v>0</v>
      </c>
      <c r="DN188" s="112">
        <f t="shared" si="227"/>
        <v>0</v>
      </c>
      <c r="DO188" s="4">
        <f t="shared" si="228"/>
        <v>45292</v>
      </c>
      <c r="DP188" s="112">
        <f t="shared" ca="1" si="229"/>
        <v>0</v>
      </c>
      <c r="DQ188" s="112">
        <f t="shared" si="230"/>
        <v>0</v>
      </c>
      <c r="DR188" s="4">
        <f t="shared" si="231"/>
        <v>45292</v>
      </c>
      <c r="DS188" s="112">
        <f t="shared" ca="1" si="232"/>
        <v>0</v>
      </c>
      <c r="DT188" s="112">
        <f t="shared" si="233"/>
        <v>0</v>
      </c>
      <c r="DU188" s="4">
        <f t="shared" si="234"/>
        <v>45292</v>
      </c>
      <c r="DV188" s="112">
        <f t="shared" si="235"/>
        <v>0</v>
      </c>
      <c r="DW188" s="112">
        <f t="shared" si="236"/>
        <v>0</v>
      </c>
    </row>
    <row r="189" spans="2:127" x14ac:dyDescent="0.25">
      <c r="B189" s="74">
        <f t="shared" si="254"/>
        <v>183</v>
      </c>
      <c r="C189" s="84">
        <f t="shared" si="247"/>
        <v>0</v>
      </c>
      <c r="D189" s="84">
        <f t="shared" si="247"/>
        <v>0</v>
      </c>
      <c r="E189" s="84">
        <f t="shared" si="247"/>
        <v>0</v>
      </c>
      <c r="F189" s="84">
        <f t="shared" si="247"/>
        <v>0</v>
      </c>
      <c r="H189" s="75">
        <f t="shared" si="248"/>
        <v>183</v>
      </c>
      <c r="I189" s="77">
        <f t="shared" si="249"/>
        <v>0</v>
      </c>
      <c r="J189" s="77">
        <f t="shared" si="250"/>
        <v>0</v>
      </c>
      <c r="K189" s="77">
        <f t="shared" si="251"/>
        <v>0</v>
      </c>
      <c r="L189" s="77">
        <f t="shared" si="252"/>
        <v>0</v>
      </c>
      <c r="M189" s="77">
        <f t="shared" si="253"/>
        <v>0</v>
      </c>
      <c r="Q189" s="4">
        <f t="shared" si="183"/>
        <v>45293</v>
      </c>
      <c r="R189" s="24">
        <f t="shared" si="184"/>
        <v>0</v>
      </c>
      <c r="S189" s="25">
        <f t="shared" si="185"/>
        <v>0</v>
      </c>
      <c r="T189" s="24">
        <f t="shared" si="186"/>
        <v>0</v>
      </c>
      <c r="U189" s="25">
        <f t="shared" si="187"/>
        <v>0</v>
      </c>
      <c r="V189" s="24">
        <f t="shared" si="188"/>
        <v>0</v>
      </c>
      <c r="W189" s="25">
        <f t="shared" si="189"/>
        <v>0</v>
      </c>
      <c r="X189" s="24">
        <f t="shared" si="190"/>
        <v>0</v>
      </c>
      <c r="Y189" s="26">
        <f t="shared" si="191"/>
        <v>0</v>
      </c>
      <c r="Z189" s="27">
        <f t="shared" si="192"/>
        <v>0</v>
      </c>
      <c r="AA189" s="28">
        <f t="shared" si="193"/>
        <v>45293</v>
      </c>
      <c r="AB189" s="24">
        <f t="shared" si="194"/>
        <v>0</v>
      </c>
      <c r="AC189" s="25">
        <f t="shared" si="195"/>
        <v>0</v>
      </c>
      <c r="AD189" s="28">
        <f t="shared" si="196"/>
        <v>45293</v>
      </c>
      <c r="AE189" s="24">
        <f t="shared" si="197"/>
        <v>0</v>
      </c>
      <c r="AF189" s="25">
        <f t="shared" si="198"/>
        <v>0</v>
      </c>
      <c r="AG189" s="28">
        <f t="shared" si="199"/>
        <v>45293</v>
      </c>
      <c r="AH189" s="24">
        <f t="shared" si="200"/>
        <v>0</v>
      </c>
      <c r="AI189" s="25">
        <f t="shared" si="201"/>
        <v>0</v>
      </c>
      <c r="AJ189" s="28">
        <f t="shared" si="202"/>
        <v>45293</v>
      </c>
      <c r="AK189" s="24">
        <f t="shared" si="203"/>
        <v>0</v>
      </c>
      <c r="AL189" s="25">
        <f t="shared" si="204"/>
        <v>0</v>
      </c>
      <c r="AM189" s="29">
        <f t="shared" si="205"/>
        <v>0</v>
      </c>
      <c r="AN189" s="28">
        <f t="shared" si="206"/>
        <v>45293</v>
      </c>
      <c r="AO189" s="373">
        <f t="shared" si="175"/>
        <v>0</v>
      </c>
      <c r="AP189" s="374">
        <f t="shared" si="176"/>
        <v>0</v>
      </c>
      <c r="AQ189" s="27">
        <f t="shared" si="177"/>
        <v>0</v>
      </c>
      <c r="AR189" s="25">
        <f t="shared" si="178"/>
        <v>0</v>
      </c>
      <c r="AS189" s="25">
        <f t="shared" si="179"/>
        <v>0</v>
      </c>
      <c r="AT189" s="25">
        <f t="shared" si="180"/>
        <v>0</v>
      </c>
      <c r="AU189" s="29">
        <f t="shared" si="238"/>
        <v>0</v>
      </c>
      <c r="AV189" s="27">
        <f t="shared" si="207"/>
        <v>0</v>
      </c>
      <c r="AW189" s="27">
        <f t="shared" si="208"/>
        <v>0</v>
      </c>
      <c r="AX189" s="27">
        <f t="shared" si="209"/>
        <v>0</v>
      </c>
      <c r="AY189" s="27">
        <f t="shared" si="210"/>
        <v>0</v>
      </c>
      <c r="BH189" s="2">
        <f t="shared" si="211"/>
        <v>0</v>
      </c>
      <c r="BI189" s="298" t="str">
        <f t="shared" si="212"/>
        <v/>
      </c>
      <c r="BJ189" s="298" t="str">
        <f t="shared" si="181"/>
        <v/>
      </c>
      <c r="BQ189" s="4">
        <f t="shared" si="213"/>
        <v>45293</v>
      </c>
      <c r="BR189" s="112">
        <f t="shared" si="214"/>
        <v>0</v>
      </c>
      <c r="BS189" s="112">
        <f t="shared" si="215"/>
        <v>0</v>
      </c>
      <c r="BT189" s="112">
        <f t="shared" si="216"/>
        <v>0</v>
      </c>
      <c r="BU189" s="112">
        <f t="shared" si="217"/>
        <v>0</v>
      </c>
      <c r="BV189" s="112">
        <f t="shared" si="218"/>
        <v>0</v>
      </c>
      <c r="CI189" s="4">
        <f t="shared" si="219"/>
        <v>45293</v>
      </c>
      <c r="CJ189" s="50">
        <f ca="1">IF($BH189=0,IF($CO189="",CJ188+R189,IF('283'!$K$251=1,VLOOKUP($CO189,PerStBal,2)+R189,IF('283'!$K$253=1,(VLOOKUP($CO189,PerPortion,2)*VLOOKUP($CO189,PerStBal,6))+R189,GL!BS189))),0)</f>
        <v>0</v>
      </c>
      <c r="CK189" s="425">
        <f ca="1">IF($BH189=0,IF($CO189="",CK188+T189,IF('283'!$K$251=1,IF(mname2&lt;&gt;"",VLOOKUP($CO189,PerStBal,3)+T189,0),IF('283'!$K$253=1,(VLOOKUP($CO189,PerPortion,3)*VLOOKUP($CO189,PerStBal,6))+T189,GL!BT189))),0)</f>
        <v>0</v>
      </c>
      <c r="CL189" s="425">
        <f ca="1">IF($BH189=0,IF($CO189="",CL188+V189,IF('283'!$K$251=1,IF(mname3&lt;&gt;"",VLOOKUP($CO189,PerStBal,4)+V189,0),IF('283'!$K$253=1,(VLOOKUP($CO189,PerPortion,4)*VLOOKUP($CO189,PerStBal,6))+V189,GL!BU189))),0)</f>
        <v>0</v>
      </c>
      <c r="CM189" s="425">
        <f ca="1">IF($BH189=0,IF($CO189="",CM188+X189,IF('283'!$K$251=1,IF(mname4&lt;&gt;"",VLOOKUP($CO189,PerStBal,5)+X189,0),IF('283'!$K$253=1,(VLOOKUP($CO189,PerPortion,5)*VLOOKUP($CO189,PerStBal,6))+X189,GL!BV189))),0)</f>
        <v>0</v>
      </c>
      <c r="CN189" s="50">
        <f t="shared" ca="1" si="220"/>
        <v>0</v>
      </c>
      <c r="CO189" s="4" t="str">
        <f t="shared" ca="1" si="221"/>
        <v/>
      </c>
      <c r="CP189" s="377">
        <f t="shared" si="182"/>
        <v>0</v>
      </c>
      <c r="DI189" s="4">
        <f t="shared" si="222"/>
        <v>45293</v>
      </c>
      <c r="DJ189" s="112">
        <f t="shared" ca="1" si="223"/>
        <v>0</v>
      </c>
      <c r="DK189" s="112">
        <f t="shared" si="224"/>
        <v>0</v>
      </c>
      <c r="DL189" s="4">
        <f t="shared" si="225"/>
        <v>45293</v>
      </c>
      <c r="DM189" s="112">
        <f t="shared" ca="1" si="226"/>
        <v>0</v>
      </c>
      <c r="DN189" s="112">
        <f t="shared" si="227"/>
        <v>0</v>
      </c>
      <c r="DO189" s="4">
        <f t="shared" si="228"/>
        <v>45293</v>
      </c>
      <c r="DP189" s="112">
        <f t="shared" ca="1" si="229"/>
        <v>0</v>
      </c>
      <c r="DQ189" s="112">
        <f t="shared" si="230"/>
        <v>0</v>
      </c>
      <c r="DR189" s="4">
        <f t="shared" si="231"/>
        <v>45293</v>
      </c>
      <c r="DS189" s="112">
        <f t="shared" ca="1" si="232"/>
        <v>0</v>
      </c>
      <c r="DT189" s="112">
        <f t="shared" si="233"/>
        <v>0</v>
      </c>
      <c r="DU189" s="4">
        <f t="shared" si="234"/>
        <v>45293</v>
      </c>
      <c r="DV189" s="112">
        <f t="shared" si="235"/>
        <v>0</v>
      </c>
      <c r="DW189" s="112">
        <f t="shared" si="236"/>
        <v>0</v>
      </c>
    </row>
    <row r="190" spans="2:127" x14ac:dyDescent="0.25">
      <c r="B190" s="74">
        <f t="shared" si="254"/>
        <v>183</v>
      </c>
      <c r="C190" s="84">
        <f t="shared" si="247"/>
        <v>0</v>
      </c>
      <c r="D190" s="84">
        <f t="shared" si="247"/>
        <v>0</v>
      </c>
      <c r="E190" s="84">
        <f t="shared" si="247"/>
        <v>0</v>
      </c>
      <c r="F190" s="84">
        <f t="shared" si="247"/>
        <v>0</v>
      </c>
      <c r="H190" s="75">
        <f t="shared" si="248"/>
        <v>183</v>
      </c>
      <c r="I190" s="77">
        <f t="shared" si="249"/>
        <v>0</v>
      </c>
      <c r="J190" s="77">
        <f t="shared" si="250"/>
        <v>0</v>
      </c>
      <c r="K190" s="77">
        <f t="shared" si="251"/>
        <v>0</v>
      </c>
      <c r="L190" s="77">
        <f t="shared" si="252"/>
        <v>0</v>
      </c>
      <c r="M190" s="77">
        <f t="shared" si="253"/>
        <v>0</v>
      </c>
      <c r="Q190" s="4">
        <f t="shared" si="183"/>
        <v>45294</v>
      </c>
      <c r="R190" s="24">
        <f t="shared" si="184"/>
        <v>0</v>
      </c>
      <c r="S190" s="25">
        <f t="shared" si="185"/>
        <v>0</v>
      </c>
      <c r="T190" s="24">
        <f t="shared" si="186"/>
        <v>0</v>
      </c>
      <c r="U190" s="25">
        <f t="shared" si="187"/>
        <v>0</v>
      </c>
      <c r="V190" s="24">
        <f t="shared" si="188"/>
        <v>0</v>
      </c>
      <c r="W190" s="25">
        <f t="shared" si="189"/>
        <v>0</v>
      </c>
      <c r="X190" s="24">
        <f t="shared" si="190"/>
        <v>0</v>
      </c>
      <c r="Y190" s="26">
        <f t="shared" si="191"/>
        <v>0</v>
      </c>
      <c r="Z190" s="27">
        <f t="shared" si="192"/>
        <v>0</v>
      </c>
      <c r="AA190" s="28">
        <f t="shared" si="193"/>
        <v>45294</v>
      </c>
      <c r="AB190" s="24">
        <f t="shared" si="194"/>
        <v>0</v>
      </c>
      <c r="AC190" s="25">
        <f t="shared" si="195"/>
        <v>0</v>
      </c>
      <c r="AD190" s="28">
        <f t="shared" si="196"/>
        <v>45294</v>
      </c>
      <c r="AE190" s="24">
        <f t="shared" si="197"/>
        <v>0</v>
      </c>
      <c r="AF190" s="25">
        <f t="shared" si="198"/>
        <v>0</v>
      </c>
      <c r="AG190" s="28">
        <f t="shared" si="199"/>
        <v>45294</v>
      </c>
      <c r="AH190" s="24">
        <f t="shared" si="200"/>
        <v>0</v>
      </c>
      <c r="AI190" s="25">
        <f t="shared" si="201"/>
        <v>0</v>
      </c>
      <c r="AJ190" s="28">
        <f t="shared" si="202"/>
        <v>45294</v>
      </c>
      <c r="AK190" s="24">
        <f t="shared" si="203"/>
        <v>0</v>
      </c>
      <c r="AL190" s="25">
        <f t="shared" si="204"/>
        <v>0</v>
      </c>
      <c r="AM190" s="29">
        <f t="shared" si="205"/>
        <v>0</v>
      </c>
      <c r="AN190" s="28">
        <f t="shared" si="206"/>
        <v>45294</v>
      </c>
      <c r="AO190" s="373">
        <f t="shared" si="175"/>
        <v>0</v>
      </c>
      <c r="AP190" s="374">
        <f t="shared" si="176"/>
        <v>0</v>
      </c>
      <c r="AQ190" s="27">
        <f t="shared" si="177"/>
        <v>0</v>
      </c>
      <c r="AR190" s="25">
        <f t="shared" si="178"/>
        <v>0</v>
      </c>
      <c r="AS190" s="25">
        <f t="shared" si="179"/>
        <v>0</v>
      </c>
      <c r="AT190" s="25">
        <f t="shared" si="180"/>
        <v>0</v>
      </c>
      <c r="AU190" s="29">
        <f t="shared" si="238"/>
        <v>0</v>
      </c>
      <c r="AV190" s="27">
        <f t="shared" si="207"/>
        <v>0</v>
      </c>
      <c r="AW190" s="27">
        <f t="shared" si="208"/>
        <v>0</v>
      </c>
      <c r="AX190" s="27">
        <f t="shared" si="209"/>
        <v>0</v>
      </c>
      <c r="AY190" s="27">
        <f t="shared" si="210"/>
        <v>0</v>
      </c>
      <c r="BH190" s="2">
        <f t="shared" si="211"/>
        <v>0</v>
      </c>
      <c r="BI190" s="298" t="str">
        <f t="shared" si="212"/>
        <v/>
      </c>
      <c r="BJ190" s="298" t="str">
        <f t="shared" si="181"/>
        <v/>
      </c>
      <c r="BQ190" s="4">
        <f t="shared" si="213"/>
        <v>45294</v>
      </c>
      <c r="BR190" s="112">
        <f t="shared" si="214"/>
        <v>0</v>
      </c>
      <c r="BS190" s="112">
        <f t="shared" si="215"/>
        <v>0</v>
      </c>
      <c r="BT190" s="112">
        <f t="shared" si="216"/>
        <v>0</v>
      </c>
      <c r="BU190" s="112">
        <f t="shared" si="217"/>
        <v>0</v>
      </c>
      <c r="BV190" s="112">
        <f t="shared" si="218"/>
        <v>0</v>
      </c>
      <c r="CI190" s="4">
        <f t="shared" si="219"/>
        <v>45294</v>
      </c>
      <c r="CJ190" s="50">
        <f ca="1">IF($BH190=0,IF($CO190="",CJ189+R190,IF('283'!$K$251=1,VLOOKUP($CO190,PerStBal,2)+R190,IF('283'!$K$253=1,(VLOOKUP($CO190,PerPortion,2)*VLOOKUP($CO190,PerStBal,6))+R190,GL!BS190))),0)</f>
        <v>0</v>
      </c>
      <c r="CK190" s="425">
        <f ca="1">IF($BH190=0,IF($CO190="",CK189+T190,IF('283'!$K$251=1,IF(mname2&lt;&gt;"",VLOOKUP($CO190,PerStBal,3)+T190,0),IF('283'!$K$253=1,(VLOOKUP($CO190,PerPortion,3)*VLOOKUP($CO190,PerStBal,6))+T190,GL!BT190))),0)</f>
        <v>0</v>
      </c>
      <c r="CL190" s="425">
        <f ca="1">IF($BH190=0,IF($CO190="",CL189+V190,IF('283'!$K$251=1,IF(mname3&lt;&gt;"",VLOOKUP($CO190,PerStBal,4)+V190,0),IF('283'!$K$253=1,(VLOOKUP($CO190,PerPortion,4)*VLOOKUP($CO190,PerStBal,6))+V190,GL!BU190))),0)</f>
        <v>0</v>
      </c>
      <c r="CM190" s="425">
        <f ca="1">IF($BH190=0,IF($CO190="",CM189+X190,IF('283'!$K$251=1,IF(mname4&lt;&gt;"",VLOOKUP($CO190,PerStBal,5)+X190,0),IF('283'!$K$253=1,(VLOOKUP($CO190,PerPortion,5)*VLOOKUP($CO190,PerStBal,6))+X190,GL!BV190))),0)</f>
        <v>0</v>
      </c>
      <c r="CN190" s="50">
        <f t="shared" ca="1" si="220"/>
        <v>0</v>
      </c>
      <c r="CO190" s="4" t="str">
        <f t="shared" ca="1" si="221"/>
        <v/>
      </c>
      <c r="CP190" s="377">
        <f t="shared" si="182"/>
        <v>0</v>
      </c>
      <c r="DI190" s="4">
        <f t="shared" si="222"/>
        <v>45294</v>
      </c>
      <c r="DJ190" s="112">
        <f t="shared" ca="1" si="223"/>
        <v>0</v>
      </c>
      <c r="DK190" s="112">
        <f t="shared" si="224"/>
        <v>0</v>
      </c>
      <c r="DL190" s="4">
        <f t="shared" si="225"/>
        <v>45294</v>
      </c>
      <c r="DM190" s="112">
        <f t="shared" ca="1" si="226"/>
        <v>0</v>
      </c>
      <c r="DN190" s="112">
        <f t="shared" si="227"/>
        <v>0</v>
      </c>
      <c r="DO190" s="4">
        <f t="shared" si="228"/>
        <v>45294</v>
      </c>
      <c r="DP190" s="112">
        <f t="shared" ca="1" si="229"/>
        <v>0</v>
      </c>
      <c r="DQ190" s="112">
        <f t="shared" si="230"/>
        <v>0</v>
      </c>
      <c r="DR190" s="4">
        <f t="shared" si="231"/>
        <v>45294</v>
      </c>
      <c r="DS190" s="112">
        <f t="shared" ca="1" si="232"/>
        <v>0</v>
      </c>
      <c r="DT190" s="112">
        <f t="shared" si="233"/>
        <v>0</v>
      </c>
      <c r="DU190" s="4">
        <f t="shared" si="234"/>
        <v>45294</v>
      </c>
      <c r="DV190" s="112">
        <f t="shared" si="235"/>
        <v>0</v>
      </c>
      <c r="DW190" s="112">
        <f t="shared" si="236"/>
        <v>0</v>
      </c>
    </row>
    <row r="191" spans="2:127" x14ac:dyDescent="0.25">
      <c r="B191" s="74">
        <f t="shared" si="254"/>
        <v>183</v>
      </c>
      <c r="C191" s="84">
        <f t="shared" si="247"/>
        <v>0</v>
      </c>
      <c r="D191" s="84">
        <f t="shared" si="247"/>
        <v>0</v>
      </c>
      <c r="E191" s="84">
        <f t="shared" si="247"/>
        <v>0</v>
      </c>
      <c r="F191" s="84">
        <f t="shared" si="247"/>
        <v>0</v>
      </c>
      <c r="H191" s="75">
        <f t="shared" si="248"/>
        <v>183</v>
      </c>
      <c r="I191" s="77">
        <f t="shared" si="249"/>
        <v>0</v>
      </c>
      <c r="J191" s="77">
        <f t="shared" si="250"/>
        <v>0</v>
      </c>
      <c r="K191" s="77">
        <f t="shared" si="251"/>
        <v>0</v>
      </c>
      <c r="L191" s="77">
        <f t="shared" si="252"/>
        <v>0</v>
      </c>
      <c r="M191" s="77">
        <f t="shared" si="253"/>
        <v>0</v>
      </c>
      <c r="Q191" s="4">
        <f t="shared" si="183"/>
        <v>45295</v>
      </c>
      <c r="R191" s="24">
        <f t="shared" si="184"/>
        <v>0</v>
      </c>
      <c r="S191" s="25">
        <f t="shared" si="185"/>
        <v>0</v>
      </c>
      <c r="T191" s="24">
        <f t="shared" si="186"/>
        <v>0</v>
      </c>
      <c r="U191" s="25">
        <f t="shared" si="187"/>
        <v>0</v>
      </c>
      <c r="V191" s="24">
        <f t="shared" si="188"/>
        <v>0</v>
      </c>
      <c r="W191" s="25">
        <f t="shared" si="189"/>
        <v>0</v>
      </c>
      <c r="X191" s="24">
        <f t="shared" si="190"/>
        <v>0</v>
      </c>
      <c r="Y191" s="26">
        <f t="shared" si="191"/>
        <v>0</v>
      </c>
      <c r="Z191" s="27">
        <f t="shared" si="192"/>
        <v>0</v>
      </c>
      <c r="AA191" s="28">
        <f t="shared" si="193"/>
        <v>45295</v>
      </c>
      <c r="AB191" s="24">
        <f t="shared" si="194"/>
        <v>0</v>
      </c>
      <c r="AC191" s="25">
        <f t="shared" si="195"/>
        <v>0</v>
      </c>
      <c r="AD191" s="28">
        <f t="shared" si="196"/>
        <v>45295</v>
      </c>
      <c r="AE191" s="24">
        <f t="shared" si="197"/>
        <v>0</v>
      </c>
      <c r="AF191" s="25">
        <f t="shared" si="198"/>
        <v>0</v>
      </c>
      <c r="AG191" s="28">
        <f t="shared" si="199"/>
        <v>45295</v>
      </c>
      <c r="AH191" s="24">
        <f t="shared" si="200"/>
        <v>0</v>
      </c>
      <c r="AI191" s="25">
        <f t="shared" si="201"/>
        <v>0</v>
      </c>
      <c r="AJ191" s="28">
        <f t="shared" si="202"/>
        <v>45295</v>
      </c>
      <c r="AK191" s="24">
        <f t="shared" si="203"/>
        <v>0</v>
      </c>
      <c r="AL191" s="25">
        <f t="shared" si="204"/>
        <v>0</v>
      </c>
      <c r="AM191" s="29">
        <f t="shared" si="205"/>
        <v>0</v>
      </c>
      <c r="AN191" s="28">
        <f t="shared" si="206"/>
        <v>45295</v>
      </c>
      <c r="AO191" s="373">
        <f t="shared" si="175"/>
        <v>0</v>
      </c>
      <c r="AP191" s="374">
        <f t="shared" si="176"/>
        <v>0</v>
      </c>
      <c r="AQ191" s="27">
        <f t="shared" si="177"/>
        <v>0</v>
      </c>
      <c r="AR191" s="25">
        <f t="shared" si="178"/>
        <v>0</v>
      </c>
      <c r="AS191" s="25">
        <f t="shared" si="179"/>
        <v>0</v>
      </c>
      <c r="AT191" s="25">
        <f t="shared" si="180"/>
        <v>0</v>
      </c>
      <c r="AU191" s="29">
        <f t="shared" si="238"/>
        <v>0</v>
      </c>
      <c r="AV191" s="27">
        <f t="shared" si="207"/>
        <v>0</v>
      </c>
      <c r="AW191" s="27">
        <f t="shared" si="208"/>
        <v>0</v>
      </c>
      <c r="AX191" s="27">
        <f t="shared" si="209"/>
        <v>0</v>
      </c>
      <c r="AY191" s="27">
        <f t="shared" si="210"/>
        <v>0</v>
      </c>
      <c r="BH191" s="2">
        <f t="shared" si="211"/>
        <v>0</v>
      </c>
      <c r="BI191" s="298" t="str">
        <f t="shared" si="212"/>
        <v/>
      </c>
      <c r="BJ191" s="298" t="str">
        <f t="shared" si="181"/>
        <v/>
      </c>
      <c r="BQ191" s="4">
        <f t="shared" si="213"/>
        <v>45295</v>
      </c>
      <c r="BR191" s="112">
        <f t="shared" si="214"/>
        <v>0</v>
      </c>
      <c r="BS191" s="112">
        <f t="shared" si="215"/>
        <v>0</v>
      </c>
      <c r="BT191" s="112">
        <f t="shared" si="216"/>
        <v>0</v>
      </c>
      <c r="BU191" s="112">
        <f t="shared" si="217"/>
        <v>0</v>
      </c>
      <c r="BV191" s="112">
        <f t="shared" si="218"/>
        <v>0</v>
      </c>
      <c r="CI191" s="4">
        <f t="shared" si="219"/>
        <v>45295</v>
      </c>
      <c r="CJ191" s="50">
        <f ca="1">IF($BH191=0,IF($CO191="",CJ190+R191,IF('283'!$K$251=1,VLOOKUP($CO191,PerStBal,2)+R191,IF('283'!$K$253=1,(VLOOKUP($CO191,PerPortion,2)*VLOOKUP($CO191,PerStBal,6))+R191,GL!BS191))),0)</f>
        <v>0</v>
      </c>
      <c r="CK191" s="425">
        <f ca="1">IF($BH191=0,IF($CO191="",CK190+T191,IF('283'!$K$251=1,IF(mname2&lt;&gt;"",VLOOKUP($CO191,PerStBal,3)+T191,0),IF('283'!$K$253=1,(VLOOKUP($CO191,PerPortion,3)*VLOOKUP($CO191,PerStBal,6))+T191,GL!BT191))),0)</f>
        <v>0</v>
      </c>
      <c r="CL191" s="425">
        <f ca="1">IF($BH191=0,IF($CO191="",CL190+V191,IF('283'!$K$251=1,IF(mname3&lt;&gt;"",VLOOKUP($CO191,PerStBal,4)+V191,0),IF('283'!$K$253=1,(VLOOKUP($CO191,PerPortion,4)*VLOOKUP($CO191,PerStBal,6))+V191,GL!BU191))),0)</f>
        <v>0</v>
      </c>
      <c r="CM191" s="425">
        <f ca="1">IF($BH191=0,IF($CO191="",CM190+X191,IF('283'!$K$251=1,IF(mname4&lt;&gt;"",VLOOKUP($CO191,PerStBal,5)+X191,0),IF('283'!$K$253=1,(VLOOKUP($CO191,PerPortion,5)*VLOOKUP($CO191,PerStBal,6))+X191,GL!BV191))),0)</f>
        <v>0</v>
      </c>
      <c r="CN191" s="50">
        <f t="shared" ca="1" si="220"/>
        <v>0</v>
      </c>
      <c r="CO191" s="4" t="str">
        <f t="shared" ca="1" si="221"/>
        <v/>
      </c>
      <c r="CP191" s="377">
        <f t="shared" si="182"/>
        <v>0</v>
      </c>
      <c r="DI191" s="4">
        <f t="shared" si="222"/>
        <v>45295</v>
      </c>
      <c r="DJ191" s="112">
        <f t="shared" ca="1" si="223"/>
        <v>0</v>
      </c>
      <c r="DK191" s="112">
        <f t="shared" si="224"/>
        <v>0</v>
      </c>
      <c r="DL191" s="4">
        <f t="shared" si="225"/>
        <v>45295</v>
      </c>
      <c r="DM191" s="112">
        <f t="shared" ca="1" si="226"/>
        <v>0</v>
      </c>
      <c r="DN191" s="112">
        <f t="shared" si="227"/>
        <v>0</v>
      </c>
      <c r="DO191" s="4">
        <f t="shared" si="228"/>
        <v>45295</v>
      </c>
      <c r="DP191" s="112">
        <f t="shared" ca="1" si="229"/>
        <v>0</v>
      </c>
      <c r="DQ191" s="112">
        <f t="shared" si="230"/>
        <v>0</v>
      </c>
      <c r="DR191" s="4">
        <f t="shared" si="231"/>
        <v>45295</v>
      </c>
      <c r="DS191" s="112">
        <f t="shared" ca="1" si="232"/>
        <v>0</v>
      </c>
      <c r="DT191" s="112">
        <f t="shared" si="233"/>
        <v>0</v>
      </c>
      <c r="DU191" s="4">
        <f t="shared" si="234"/>
        <v>45295</v>
      </c>
      <c r="DV191" s="112">
        <f t="shared" si="235"/>
        <v>0</v>
      </c>
      <c r="DW191" s="112">
        <f t="shared" si="236"/>
        <v>0</v>
      </c>
    </row>
    <row r="192" spans="2:127" x14ac:dyDescent="0.25">
      <c r="B192" s="74">
        <f t="shared" si="254"/>
        <v>183</v>
      </c>
      <c r="C192" s="84">
        <f t="shared" si="247"/>
        <v>0</v>
      </c>
      <c r="D192" s="84">
        <f t="shared" si="247"/>
        <v>0</v>
      </c>
      <c r="E192" s="84">
        <f t="shared" si="247"/>
        <v>0</v>
      </c>
      <c r="F192" s="84">
        <f t="shared" si="247"/>
        <v>0</v>
      </c>
      <c r="H192" s="75">
        <f t="shared" si="248"/>
        <v>183</v>
      </c>
      <c r="I192" s="77">
        <f t="shared" si="249"/>
        <v>0</v>
      </c>
      <c r="J192" s="77">
        <f t="shared" si="250"/>
        <v>0</v>
      </c>
      <c r="K192" s="77">
        <f t="shared" si="251"/>
        <v>0</v>
      </c>
      <c r="L192" s="77">
        <f t="shared" si="252"/>
        <v>0</v>
      </c>
      <c r="M192" s="77">
        <f t="shared" si="253"/>
        <v>0</v>
      </c>
      <c r="Q192" s="4">
        <f t="shared" si="183"/>
        <v>45296</v>
      </c>
      <c r="R192" s="24">
        <f t="shared" si="184"/>
        <v>0</v>
      </c>
      <c r="S192" s="25">
        <f t="shared" si="185"/>
        <v>0</v>
      </c>
      <c r="T192" s="24">
        <f t="shared" si="186"/>
        <v>0</v>
      </c>
      <c r="U192" s="25">
        <f t="shared" si="187"/>
        <v>0</v>
      </c>
      <c r="V192" s="24">
        <f t="shared" si="188"/>
        <v>0</v>
      </c>
      <c r="W192" s="25">
        <f t="shared" si="189"/>
        <v>0</v>
      </c>
      <c r="X192" s="24">
        <f t="shared" si="190"/>
        <v>0</v>
      </c>
      <c r="Y192" s="26">
        <f t="shared" si="191"/>
        <v>0</v>
      </c>
      <c r="Z192" s="27">
        <f t="shared" si="192"/>
        <v>0</v>
      </c>
      <c r="AA192" s="28">
        <f t="shared" si="193"/>
        <v>45296</v>
      </c>
      <c r="AB192" s="24">
        <f t="shared" si="194"/>
        <v>0</v>
      </c>
      <c r="AC192" s="25">
        <f t="shared" si="195"/>
        <v>0</v>
      </c>
      <c r="AD192" s="28">
        <f t="shared" si="196"/>
        <v>45296</v>
      </c>
      <c r="AE192" s="24">
        <f t="shared" si="197"/>
        <v>0</v>
      </c>
      <c r="AF192" s="25">
        <f t="shared" si="198"/>
        <v>0</v>
      </c>
      <c r="AG192" s="28">
        <f t="shared" si="199"/>
        <v>45296</v>
      </c>
      <c r="AH192" s="24">
        <f t="shared" si="200"/>
        <v>0</v>
      </c>
      <c r="AI192" s="25">
        <f t="shared" si="201"/>
        <v>0</v>
      </c>
      <c r="AJ192" s="28">
        <f t="shared" si="202"/>
        <v>45296</v>
      </c>
      <c r="AK192" s="24">
        <f t="shared" si="203"/>
        <v>0</v>
      </c>
      <c r="AL192" s="25">
        <f t="shared" si="204"/>
        <v>0</v>
      </c>
      <c r="AM192" s="29">
        <f t="shared" si="205"/>
        <v>0</v>
      </c>
      <c r="AN192" s="28">
        <f t="shared" si="206"/>
        <v>45296</v>
      </c>
      <c r="AO192" s="373">
        <f t="shared" si="175"/>
        <v>0</v>
      </c>
      <c r="AP192" s="374">
        <f t="shared" si="176"/>
        <v>0</v>
      </c>
      <c r="AQ192" s="27">
        <f t="shared" si="177"/>
        <v>0</v>
      </c>
      <c r="AR192" s="25">
        <f t="shared" si="178"/>
        <v>0</v>
      </c>
      <c r="AS192" s="25">
        <f t="shared" si="179"/>
        <v>0</v>
      </c>
      <c r="AT192" s="25">
        <f t="shared" si="180"/>
        <v>0</v>
      </c>
      <c r="AU192" s="29">
        <f t="shared" si="238"/>
        <v>0</v>
      </c>
      <c r="AV192" s="27">
        <f t="shared" si="207"/>
        <v>0</v>
      </c>
      <c r="AW192" s="27">
        <f t="shared" si="208"/>
        <v>0</v>
      </c>
      <c r="AX192" s="27">
        <f t="shared" si="209"/>
        <v>0</v>
      </c>
      <c r="AY192" s="27">
        <f t="shared" si="210"/>
        <v>0</v>
      </c>
      <c r="BH192" s="2">
        <f t="shared" si="211"/>
        <v>0</v>
      </c>
      <c r="BI192" s="298" t="str">
        <f t="shared" si="212"/>
        <v/>
      </c>
      <c r="BJ192" s="298" t="str">
        <f t="shared" si="181"/>
        <v/>
      </c>
      <c r="BQ192" s="4">
        <f t="shared" si="213"/>
        <v>45296</v>
      </c>
      <c r="BR192" s="112">
        <f t="shared" si="214"/>
        <v>0</v>
      </c>
      <c r="BS192" s="112">
        <f t="shared" si="215"/>
        <v>0</v>
      </c>
      <c r="BT192" s="112">
        <f t="shared" si="216"/>
        <v>0</v>
      </c>
      <c r="BU192" s="112">
        <f t="shared" si="217"/>
        <v>0</v>
      </c>
      <c r="BV192" s="112">
        <f t="shared" si="218"/>
        <v>0</v>
      </c>
      <c r="CI192" s="4">
        <f t="shared" si="219"/>
        <v>45296</v>
      </c>
      <c r="CJ192" s="50">
        <f ca="1">IF($BH192=0,IF($CO192="",CJ191+R192,IF('283'!$K$251=1,VLOOKUP($CO192,PerStBal,2)+R192,IF('283'!$K$253=1,(VLOOKUP($CO192,PerPortion,2)*VLOOKUP($CO192,PerStBal,6))+R192,GL!BS192))),0)</f>
        <v>0</v>
      </c>
      <c r="CK192" s="425">
        <f ca="1">IF($BH192=0,IF($CO192="",CK191+T192,IF('283'!$K$251=1,IF(mname2&lt;&gt;"",VLOOKUP($CO192,PerStBal,3)+T192,0),IF('283'!$K$253=1,(VLOOKUP($CO192,PerPortion,3)*VLOOKUP($CO192,PerStBal,6))+T192,GL!BT192))),0)</f>
        <v>0</v>
      </c>
      <c r="CL192" s="425">
        <f ca="1">IF($BH192=0,IF($CO192="",CL191+V192,IF('283'!$K$251=1,IF(mname3&lt;&gt;"",VLOOKUP($CO192,PerStBal,4)+V192,0),IF('283'!$K$253=1,(VLOOKUP($CO192,PerPortion,4)*VLOOKUP($CO192,PerStBal,6))+V192,GL!BU192))),0)</f>
        <v>0</v>
      </c>
      <c r="CM192" s="425">
        <f ca="1">IF($BH192=0,IF($CO192="",CM191+X192,IF('283'!$K$251=1,IF(mname4&lt;&gt;"",VLOOKUP($CO192,PerStBal,5)+X192,0),IF('283'!$K$253=1,(VLOOKUP($CO192,PerPortion,5)*VLOOKUP($CO192,PerStBal,6))+X192,GL!BV192))),0)</f>
        <v>0</v>
      </c>
      <c r="CN192" s="50">
        <f t="shared" ca="1" si="220"/>
        <v>0</v>
      </c>
      <c r="CO192" s="4" t="str">
        <f t="shared" ca="1" si="221"/>
        <v/>
      </c>
      <c r="CP192" s="377">
        <f t="shared" si="182"/>
        <v>0</v>
      </c>
      <c r="DI192" s="4">
        <f t="shared" si="222"/>
        <v>45296</v>
      </c>
      <c r="DJ192" s="112">
        <f t="shared" ca="1" si="223"/>
        <v>0</v>
      </c>
      <c r="DK192" s="112">
        <f t="shared" si="224"/>
        <v>0</v>
      </c>
      <c r="DL192" s="4">
        <f t="shared" si="225"/>
        <v>45296</v>
      </c>
      <c r="DM192" s="112">
        <f t="shared" ca="1" si="226"/>
        <v>0</v>
      </c>
      <c r="DN192" s="112">
        <f t="shared" si="227"/>
        <v>0</v>
      </c>
      <c r="DO192" s="4">
        <f t="shared" si="228"/>
        <v>45296</v>
      </c>
      <c r="DP192" s="112">
        <f t="shared" ca="1" si="229"/>
        <v>0</v>
      </c>
      <c r="DQ192" s="112">
        <f t="shared" si="230"/>
        <v>0</v>
      </c>
      <c r="DR192" s="4">
        <f t="shared" si="231"/>
        <v>45296</v>
      </c>
      <c r="DS192" s="112">
        <f t="shared" ca="1" si="232"/>
        <v>0</v>
      </c>
      <c r="DT192" s="112">
        <f t="shared" si="233"/>
        <v>0</v>
      </c>
      <c r="DU192" s="4">
        <f t="shared" si="234"/>
        <v>45296</v>
      </c>
      <c r="DV192" s="112">
        <f t="shared" si="235"/>
        <v>0</v>
      </c>
      <c r="DW192" s="112">
        <f t="shared" si="236"/>
        <v>0</v>
      </c>
    </row>
    <row r="193" spans="2:127" x14ac:dyDescent="0.25">
      <c r="B193" s="74">
        <f t="shared" si="254"/>
        <v>183</v>
      </c>
      <c r="C193" s="84">
        <f t="shared" si="247"/>
        <v>0</v>
      </c>
      <c r="D193" s="84">
        <f t="shared" si="247"/>
        <v>0</v>
      </c>
      <c r="E193" s="84">
        <f t="shared" si="247"/>
        <v>0</v>
      </c>
      <c r="F193" s="84">
        <f t="shared" si="247"/>
        <v>0</v>
      </c>
      <c r="H193" s="75">
        <f t="shared" si="248"/>
        <v>183</v>
      </c>
      <c r="I193" s="77">
        <f t="shared" si="249"/>
        <v>0</v>
      </c>
      <c r="J193" s="77">
        <f t="shared" si="250"/>
        <v>0</v>
      </c>
      <c r="K193" s="77">
        <f t="shared" si="251"/>
        <v>0</v>
      </c>
      <c r="L193" s="77">
        <f t="shared" si="252"/>
        <v>0</v>
      </c>
      <c r="M193" s="77">
        <f t="shared" si="253"/>
        <v>0</v>
      </c>
      <c r="Q193" s="4">
        <f t="shared" si="183"/>
        <v>45297</v>
      </c>
      <c r="R193" s="24">
        <f t="shared" si="184"/>
        <v>0</v>
      </c>
      <c r="S193" s="25">
        <f t="shared" si="185"/>
        <v>0</v>
      </c>
      <c r="T193" s="24">
        <f t="shared" si="186"/>
        <v>0</v>
      </c>
      <c r="U193" s="25">
        <f t="shared" si="187"/>
        <v>0</v>
      </c>
      <c r="V193" s="24">
        <f t="shared" si="188"/>
        <v>0</v>
      </c>
      <c r="W193" s="25">
        <f t="shared" si="189"/>
        <v>0</v>
      </c>
      <c r="X193" s="24">
        <f t="shared" si="190"/>
        <v>0</v>
      </c>
      <c r="Y193" s="26">
        <f t="shared" si="191"/>
        <v>0</v>
      </c>
      <c r="Z193" s="27">
        <f t="shared" si="192"/>
        <v>0</v>
      </c>
      <c r="AA193" s="28">
        <f t="shared" si="193"/>
        <v>45297</v>
      </c>
      <c r="AB193" s="24">
        <f t="shared" si="194"/>
        <v>0</v>
      </c>
      <c r="AC193" s="25">
        <f t="shared" si="195"/>
        <v>0</v>
      </c>
      <c r="AD193" s="28">
        <f t="shared" si="196"/>
        <v>45297</v>
      </c>
      <c r="AE193" s="24">
        <f t="shared" si="197"/>
        <v>0</v>
      </c>
      <c r="AF193" s="25">
        <f t="shared" si="198"/>
        <v>0</v>
      </c>
      <c r="AG193" s="28">
        <f t="shared" si="199"/>
        <v>45297</v>
      </c>
      <c r="AH193" s="24">
        <f t="shared" si="200"/>
        <v>0</v>
      </c>
      <c r="AI193" s="25">
        <f t="shared" si="201"/>
        <v>0</v>
      </c>
      <c r="AJ193" s="28">
        <f t="shared" si="202"/>
        <v>45297</v>
      </c>
      <c r="AK193" s="24">
        <f t="shared" si="203"/>
        <v>0</v>
      </c>
      <c r="AL193" s="25">
        <f t="shared" si="204"/>
        <v>0</v>
      </c>
      <c r="AM193" s="29">
        <f t="shared" si="205"/>
        <v>0</v>
      </c>
      <c r="AN193" s="28">
        <f t="shared" si="206"/>
        <v>45297</v>
      </c>
      <c r="AO193" s="373">
        <f t="shared" si="175"/>
        <v>0</v>
      </c>
      <c r="AP193" s="374">
        <f t="shared" si="176"/>
        <v>0</v>
      </c>
      <c r="AQ193" s="27">
        <f t="shared" si="177"/>
        <v>0</v>
      </c>
      <c r="AR193" s="25">
        <f t="shared" si="178"/>
        <v>0</v>
      </c>
      <c r="AS193" s="25">
        <f t="shared" si="179"/>
        <v>0</v>
      </c>
      <c r="AT193" s="25">
        <f t="shared" si="180"/>
        <v>0</v>
      </c>
      <c r="AU193" s="29">
        <f t="shared" si="238"/>
        <v>0</v>
      </c>
      <c r="AV193" s="27">
        <f t="shared" si="207"/>
        <v>0</v>
      </c>
      <c r="AW193" s="27">
        <f t="shared" si="208"/>
        <v>0</v>
      </c>
      <c r="AX193" s="27">
        <f t="shared" si="209"/>
        <v>0</v>
      </c>
      <c r="AY193" s="27">
        <f t="shared" si="210"/>
        <v>0</v>
      </c>
      <c r="BH193" s="2">
        <f t="shared" si="211"/>
        <v>0</v>
      </c>
      <c r="BI193" s="298" t="str">
        <f t="shared" si="212"/>
        <v/>
      </c>
      <c r="BJ193" s="298" t="str">
        <f t="shared" si="181"/>
        <v/>
      </c>
      <c r="BQ193" s="4">
        <f t="shared" si="213"/>
        <v>45297</v>
      </c>
      <c r="BR193" s="112">
        <f t="shared" si="214"/>
        <v>0</v>
      </c>
      <c r="BS193" s="112">
        <f t="shared" si="215"/>
        <v>0</v>
      </c>
      <c r="BT193" s="112">
        <f t="shared" si="216"/>
        <v>0</v>
      </c>
      <c r="BU193" s="112">
        <f t="shared" si="217"/>
        <v>0</v>
      </c>
      <c r="BV193" s="112">
        <f t="shared" si="218"/>
        <v>0</v>
      </c>
      <c r="CI193" s="4">
        <f t="shared" si="219"/>
        <v>45297</v>
      </c>
      <c r="CJ193" s="50">
        <f ca="1">IF($BH193=0,IF($CO193="",CJ192+R193,IF('283'!$K$251=1,VLOOKUP($CO193,PerStBal,2)+R193,IF('283'!$K$253=1,(VLOOKUP($CO193,PerPortion,2)*VLOOKUP($CO193,PerStBal,6))+R193,GL!BS193))),0)</f>
        <v>0</v>
      </c>
      <c r="CK193" s="425">
        <f ca="1">IF($BH193=0,IF($CO193="",CK192+T193,IF('283'!$K$251=1,IF(mname2&lt;&gt;"",VLOOKUP($CO193,PerStBal,3)+T193,0),IF('283'!$K$253=1,(VLOOKUP($CO193,PerPortion,3)*VLOOKUP($CO193,PerStBal,6))+T193,GL!BT193))),0)</f>
        <v>0</v>
      </c>
      <c r="CL193" s="425">
        <f ca="1">IF($BH193=0,IF($CO193="",CL192+V193,IF('283'!$K$251=1,IF(mname3&lt;&gt;"",VLOOKUP($CO193,PerStBal,4)+V193,0),IF('283'!$K$253=1,(VLOOKUP($CO193,PerPortion,4)*VLOOKUP($CO193,PerStBal,6))+V193,GL!BU193))),0)</f>
        <v>0</v>
      </c>
      <c r="CM193" s="425">
        <f ca="1">IF($BH193=0,IF($CO193="",CM192+X193,IF('283'!$K$251=1,IF(mname4&lt;&gt;"",VLOOKUP($CO193,PerStBal,5)+X193,0),IF('283'!$K$253=1,(VLOOKUP($CO193,PerPortion,5)*VLOOKUP($CO193,PerStBal,6))+X193,GL!BV193))),0)</f>
        <v>0</v>
      </c>
      <c r="CN193" s="50">
        <f t="shared" ca="1" si="220"/>
        <v>0</v>
      </c>
      <c r="CO193" s="4" t="str">
        <f t="shared" ca="1" si="221"/>
        <v/>
      </c>
      <c r="CP193" s="377">
        <f t="shared" si="182"/>
        <v>0</v>
      </c>
      <c r="DI193" s="4">
        <f t="shared" si="222"/>
        <v>45297</v>
      </c>
      <c r="DJ193" s="112">
        <f t="shared" ca="1" si="223"/>
        <v>0</v>
      </c>
      <c r="DK193" s="112">
        <f t="shared" si="224"/>
        <v>0</v>
      </c>
      <c r="DL193" s="4">
        <f t="shared" si="225"/>
        <v>45297</v>
      </c>
      <c r="DM193" s="112">
        <f t="shared" ca="1" si="226"/>
        <v>0</v>
      </c>
      <c r="DN193" s="112">
        <f t="shared" si="227"/>
        <v>0</v>
      </c>
      <c r="DO193" s="4">
        <f t="shared" si="228"/>
        <v>45297</v>
      </c>
      <c r="DP193" s="112">
        <f t="shared" ca="1" si="229"/>
        <v>0</v>
      </c>
      <c r="DQ193" s="112">
        <f t="shared" si="230"/>
        <v>0</v>
      </c>
      <c r="DR193" s="4">
        <f t="shared" si="231"/>
        <v>45297</v>
      </c>
      <c r="DS193" s="112">
        <f t="shared" ca="1" si="232"/>
        <v>0</v>
      </c>
      <c r="DT193" s="112">
        <f t="shared" si="233"/>
        <v>0</v>
      </c>
      <c r="DU193" s="4">
        <f t="shared" si="234"/>
        <v>45297</v>
      </c>
      <c r="DV193" s="112">
        <f t="shared" si="235"/>
        <v>0</v>
      </c>
      <c r="DW193" s="112">
        <f t="shared" si="236"/>
        <v>0</v>
      </c>
    </row>
    <row r="194" spans="2:127" x14ac:dyDescent="0.25">
      <c r="B194" s="85">
        <f t="shared" si="254"/>
        <v>183</v>
      </c>
      <c r="C194" s="86">
        <f t="shared" ref="C194:F204" ca="1" si="255">IF(AND($C85&lt;&gt;"",D85&lt;&gt;""),(YearEnd-$C85)/DaysInYear*D85,0)</f>
        <v>0</v>
      </c>
      <c r="D194" s="86">
        <f t="shared" ca="1" si="255"/>
        <v>0</v>
      </c>
      <c r="E194" s="86">
        <f t="shared" ca="1" si="255"/>
        <v>0</v>
      </c>
      <c r="F194" s="86">
        <f t="shared" ca="1" si="255"/>
        <v>0</v>
      </c>
      <c r="H194" s="87">
        <f t="shared" si="248"/>
        <v>183</v>
      </c>
      <c r="I194" s="88">
        <f t="shared" ref="I194:I204" ca="1" si="256">IF(AND($J85&lt;&gt;"",K85&lt;&gt;""),(YearEnd-$J85)/DaysInYear*K85,0)</f>
        <v>0</v>
      </c>
      <c r="J194" s="88">
        <f t="shared" ref="J194:J204" ca="1" si="257">IF(AND($J85&lt;&gt;"",L85&lt;&gt;""),(YearEnd-$J85)/DaysInYear*L85,0)</f>
        <v>0</v>
      </c>
      <c r="K194" s="88">
        <f t="shared" ref="K194:K204" ca="1" si="258">IF(AND($J85&lt;&gt;"",M85&lt;&gt;""),(YearEnd-$J85)/DaysInYear*M85,0)</f>
        <v>0</v>
      </c>
      <c r="L194" s="88">
        <f t="shared" ref="L194:L204" ca="1" si="259">IF(AND($J85&lt;&gt;"",N85&lt;&gt;""),(YearEnd-$J85)/DaysInYear*N85,0)</f>
        <v>0</v>
      </c>
      <c r="M194" s="88">
        <f t="shared" ref="M194:M204" ca="1" si="260">IF(AND($J85&lt;&gt;"",O85&lt;&gt;""),(YearEnd-$J85)/DaysInYear*O85,0)</f>
        <v>0</v>
      </c>
      <c r="Q194" s="4">
        <f t="shared" si="183"/>
        <v>45298</v>
      </c>
      <c r="R194" s="24">
        <f t="shared" si="184"/>
        <v>0</v>
      </c>
      <c r="S194" s="25">
        <f t="shared" si="185"/>
        <v>0</v>
      </c>
      <c r="T194" s="24">
        <f t="shared" si="186"/>
        <v>0</v>
      </c>
      <c r="U194" s="25">
        <f t="shared" si="187"/>
        <v>0</v>
      </c>
      <c r="V194" s="24">
        <f t="shared" si="188"/>
        <v>0</v>
      </c>
      <c r="W194" s="25">
        <f t="shared" si="189"/>
        <v>0</v>
      </c>
      <c r="X194" s="24">
        <f t="shared" si="190"/>
        <v>0</v>
      </c>
      <c r="Y194" s="26">
        <f t="shared" si="191"/>
        <v>0</v>
      </c>
      <c r="Z194" s="27">
        <f t="shared" si="192"/>
        <v>0</v>
      </c>
      <c r="AA194" s="28">
        <f t="shared" si="193"/>
        <v>45298</v>
      </c>
      <c r="AB194" s="24">
        <f t="shared" si="194"/>
        <v>0</v>
      </c>
      <c r="AC194" s="25">
        <f t="shared" si="195"/>
        <v>0</v>
      </c>
      <c r="AD194" s="28">
        <f t="shared" si="196"/>
        <v>45298</v>
      </c>
      <c r="AE194" s="24">
        <f t="shared" si="197"/>
        <v>0</v>
      </c>
      <c r="AF194" s="25">
        <f t="shared" si="198"/>
        <v>0</v>
      </c>
      <c r="AG194" s="28">
        <f t="shared" si="199"/>
        <v>45298</v>
      </c>
      <c r="AH194" s="24">
        <f t="shared" si="200"/>
        <v>0</v>
      </c>
      <c r="AI194" s="25">
        <f t="shared" si="201"/>
        <v>0</v>
      </c>
      <c r="AJ194" s="28">
        <f t="shared" si="202"/>
        <v>45298</v>
      </c>
      <c r="AK194" s="24">
        <f t="shared" si="203"/>
        <v>0</v>
      </c>
      <c r="AL194" s="25">
        <f t="shared" si="204"/>
        <v>0</v>
      </c>
      <c r="AM194" s="29">
        <f t="shared" si="205"/>
        <v>0</v>
      </c>
      <c r="AN194" s="28">
        <f t="shared" si="206"/>
        <v>45298</v>
      </c>
      <c r="AO194" s="373">
        <f t="shared" si="175"/>
        <v>0</v>
      </c>
      <c r="AP194" s="374">
        <f t="shared" si="176"/>
        <v>0</v>
      </c>
      <c r="AQ194" s="27">
        <f t="shared" si="177"/>
        <v>0</v>
      </c>
      <c r="AR194" s="25">
        <f t="shared" si="178"/>
        <v>0</v>
      </c>
      <c r="AS194" s="25">
        <f t="shared" si="179"/>
        <v>0</v>
      </c>
      <c r="AT194" s="25">
        <f t="shared" si="180"/>
        <v>0</v>
      </c>
      <c r="AU194" s="29">
        <f t="shared" si="238"/>
        <v>0</v>
      </c>
      <c r="AV194" s="27">
        <f t="shared" si="207"/>
        <v>0</v>
      </c>
      <c r="AW194" s="27">
        <f t="shared" si="208"/>
        <v>0</v>
      </c>
      <c r="AX194" s="27">
        <f t="shared" si="209"/>
        <v>0</v>
      </c>
      <c r="AY194" s="27">
        <f t="shared" si="210"/>
        <v>0</v>
      </c>
      <c r="BH194" s="2">
        <f t="shared" si="211"/>
        <v>0</v>
      </c>
      <c r="BI194" s="298" t="str">
        <f t="shared" si="212"/>
        <v/>
      </c>
      <c r="BJ194" s="298" t="str">
        <f t="shared" si="181"/>
        <v/>
      </c>
      <c r="BQ194" s="4">
        <f t="shared" si="213"/>
        <v>45298</v>
      </c>
      <c r="BR194" s="112">
        <f t="shared" si="214"/>
        <v>0</v>
      </c>
      <c r="BS194" s="112">
        <f t="shared" si="215"/>
        <v>0</v>
      </c>
      <c r="BT194" s="112">
        <f t="shared" si="216"/>
        <v>0</v>
      </c>
      <c r="BU194" s="112">
        <f t="shared" si="217"/>
        <v>0</v>
      </c>
      <c r="BV194" s="112">
        <f t="shared" si="218"/>
        <v>0</v>
      </c>
      <c r="CI194" s="4">
        <f t="shared" si="219"/>
        <v>45298</v>
      </c>
      <c r="CJ194" s="50">
        <f ca="1">IF($BH194=0,IF($CO194="",CJ193+R194,IF('283'!$K$251=1,VLOOKUP($CO194,PerStBal,2)+R194,IF('283'!$K$253=1,(VLOOKUP($CO194,PerPortion,2)*VLOOKUP($CO194,PerStBal,6))+R194,GL!BS194))),0)</f>
        <v>0</v>
      </c>
      <c r="CK194" s="425">
        <f ca="1">IF($BH194=0,IF($CO194="",CK193+T194,IF('283'!$K$251=1,IF(mname2&lt;&gt;"",VLOOKUP($CO194,PerStBal,3)+T194,0),IF('283'!$K$253=1,(VLOOKUP($CO194,PerPortion,3)*VLOOKUP($CO194,PerStBal,6))+T194,GL!BT194))),0)</f>
        <v>0</v>
      </c>
      <c r="CL194" s="425">
        <f ca="1">IF($BH194=0,IF($CO194="",CL193+V194,IF('283'!$K$251=1,IF(mname3&lt;&gt;"",VLOOKUP($CO194,PerStBal,4)+V194,0),IF('283'!$K$253=1,(VLOOKUP($CO194,PerPortion,4)*VLOOKUP($CO194,PerStBal,6))+V194,GL!BU194))),0)</f>
        <v>0</v>
      </c>
      <c r="CM194" s="425">
        <f ca="1">IF($BH194=0,IF($CO194="",CM193+X194,IF('283'!$K$251=1,IF(mname4&lt;&gt;"",VLOOKUP($CO194,PerStBal,5)+X194,0),IF('283'!$K$253=1,(VLOOKUP($CO194,PerPortion,5)*VLOOKUP($CO194,PerStBal,6))+X194,GL!BV194))),0)</f>
        <v>0</v>
      </c>
      <c r="CN194" s="50">
        <f t="shared" ca="1" si="220"/>
        <v>0</v>
      </c>
      <c r="CO194" s="4" t="str">
        <f t="shared" ca="1" si="221"/>
        <v/>
      </c>
      <c r="CP194" s="377">
        <f t="shared" si="182"/>
        <v>0</v>
      </c>
      <c r="DI194" s="4">
        <f t="shared" si="222"/>
        <v>45298</v>
      </c>
      <c r="DJ194" s="112">
        <f t="shared" ca="1" si="223"/>
        <v>0</v>
      </c>
      <c r="DK194" s="112">
        <f t="shared" si="224"/>
        <v>0</v>
      </c>
      <c r="DL194" s="4">
        <f t="shared" si="225"/>
        <v>45298</v>
      </c>
      <c r="DM194" s="112">
        <f t="shared" ca="1" si="226"/>
        <v>0</v>
      </c>
      <c r="DN194" s="112">
        <f t="shared" si="227"/>
        <v>0</v>
      </c>
      <c r="DO194" s="4">
        <f t="shared" si="228"/>
        <v>45298</v>
      </c>
      <c r="DP194" s="112">
        <f t="shared" ca="1" si="229"/>
        <v>0</v>
      </c>
      <c r="DQ194" s="112">
        <f t="shared" si="230"/>
        <v>0</v>
      </c>
      <c r="DR194" s="4">
        <f t="shared" si="231"/>
        <v>45298</v>
      </c>
      <c r="DS194" s="112">
        <f t="shared" ca="1" si="232"/>
        <v>0</v>
      </c>
      <c r="DT194" s="112">
        <f t="shared" si="233"/>
        <v>0</v>
      </c>
      <c r="DU194" s="4">
        <f t="shared" si="234"/>
        <v>45298</v>
      </c>
      <c r="DV194" s="112">
        <f t="shared" si="235"/>
        <v>0</v>
      </c>
      <c r="DW194" s="112">
        <f t="shared" si="236"/>
        <v>0</v>
      </c>
    </row>
    <row r="195" spans="2:127" x14ac:dyDescent="0.25">
      <c r="B195" s="85">
        <f t="shared" si="254"/>
        <v>183</v>
      </c>
      <c r="C195" s="86">
        <f t="shared" ca="1" si="255"/>
        <v>0</v>
      </c>
      <c r="D195" s="86">
        <f t="shared" ca="1" si="255"/>
        <v>0</v>
      </c>
      <c r="E195" s="86">
        <f t="shared" ca="1" si="255"/>
        <v>0</v>
      </c>
      <c r="F195" s="86">
        <f t="shared" ca="1" si="255"/>
        <v>0</v>
      </c>
      <c r="H195" s="87">
        <f t="shared" si="248"/>
        <v>183</v>
      </c>
      <c r="I195" s="88">
        <f t="shared" ca="1" si="256"/>
        <v>0</v>
      </c>
      <c r="J195" s="88">
        <f t="shared" ca="1" si="257"/>
        <v>0</v>
      </c>
      <c r="K195" s="88">
        <f t="shared" ca="1" si="258"/>
        <v>0</v>
      </c>
      <c r="L195" s="88">
        <f t="shared" ca="1" si="259"/>
        <v>0</v>
      </c>
      <c r="M195" s="88">
        <f t="shared" ca="1" si="260"/>
        <v>0</v>
      </c>
      <c r="Q195" s="4">
        <f t="shared" si="183"/>
        <v>45299</v>
      </c>
      <c r="R195" s="24">
        <f t="shared" si="184"/>
        <v>0</v>
      </c>
      <c r="S195" s="25">
        <f t="shared" si="185"/>
        <v>0</v>
      </c>
      <c r="T195" s="24">
        <f t="shared" si="186"/>
        <v>0</v>
      </c>
      <c r="U195" s="25">
        <f t="shared" si="187"/>
        <v>0</v>
      </c>
      <c r="V195" s="24">
        <f t="shared" si="188"/>
        <v>0</v>
      </c>
      <c r="W195" s="25">
        <f t="shared" si="189"/>
        <v>0</v>
      </c>
      <c r="X195" s="24">
        <f t="shared" si="190"/>
        <v>0</v>
      </c>
      <c r="Y195" s="26">
        <f t="shared" si="191"/>
        <v>0</v>
      </c>
      <c r="Z195" s="27">
        <f t="shared" si="192"/>
        <v>0</v>
      </c>
      <c r="AA195" s="28">
        <f t="shared" si="193"/>
        <v>45299</v>
      </c>
      <c r="AB195" s="24">
        <f t="shared" si="194"/>
        <v>0</v>
      </c>
      <c r="AC195" s="25">
        <f t="shared" si="195"/>
        <v>0</v>
      </c>
      <c r="AD195" s="28">
        <f t="shared" si="196"/>
        <v>45299</v>
      </c>
      <c r="AE195" s="24">
        <f t="shared" si="197"/>
        <v>0</v>
      </c>
      <c r="AF195" s="25">
        <f t="shared" si="198"/>
        <v>0</v>
      </c>
      <c r="AG195" s="28">
        <f t="shared" si="199"/>
        <v>45299</v>
      </c>
      <c r="AH195" s="24">
        <f t="shared" si="200"/>
        <v>0</v>
      </c>
      <c r="AI195" s="25">
        <f t="shared" si="201"/>
        <v>0</v>
      </c>
      <c r="AJ195" s="28">
        <f t="shared" si="202"/>
        <v>45299</v>
      </c>
      <c r="AK195" s="24">
        <f t="shared" si="203"/>
        <v>0</v>
      </c>
      <c r="AL195" s="25">
        <f t="shared" si="204"/>
        <v>0</v>
      </c>
      <c r="AM195" s="29">
        <f t="shared" si="205"/>
        <v>0</v>
      </c>
      <c r="AN195" s="28">
        <f t="shared" si="206"/>
        <v>45299</v>
      </c>
      <c r="AO195" s="373">
        <f t="shared" si="175"/>
        <v>0</v>
      </c>
      <c r="AP195" s="374">
        <f t="shared" si="176"/>
        <v>0</v>
      </c>
      <c r="AQ195" s="27">
        <f t="shared" si="177"/>
        <v>0</v>
      </c>
      <c r="AR195" s="25">
        <f t="shared" si="178"/>
        <v>0</v>
      </c>
      <c r="AS195" s="25">
        <f t="shared" si="179"/>
        <v>0</v>
      </c>
      <c r="AT195" s="25">
        <f t="shared" si="180"/>
        <v>0</v>
      </c>
      <c r="AU195" s="29">
        <f t="shared" si="238"/>
        <v>0</v>
      </c>
      <c r="AV195" s="27">
        <f t="shared" si="207"/>
        <v>0</v>
      </c>
      <c r="AW195" s="27">
        <f t="shared" si="208"/>
        <v>0</v>
      </c>
      <c r="AX195" s="27">
        <f t="shared" si="209"/>
        <v>0</v>
      </c>
      <c r="AY195" s="27">
        <f t="shared" si="210"/>
        <v>0</v>
      </c>
      <c r="BH195" s="2">
        <f t="shared" si="211"/>
        <v>0</v>
      </c>
      <c r="BI195" s="298" t="str">
        <f t="shared" si="212"/>
        <v/>
      </c>
      <c r="BJ195" s="298" t="str">
        <f t="shared" si="181"/>
        <v/>
      </c>
      <c r="BQ195" s="4">
        <f t="shared" si="213"/>
        <v>45299</v>
      </c>
      <c r="BR195" s="112">
        <f t="shared" si="214"/>
        <v>0</v>
      </c>
      <c r="BS195" s="112">
        <f t="shared" si="215"/>
        <v>0</v>
      </c>
      <c r="BT195" s="112">
        <f t="shared" si="216"/>
        <v>0</v>
      </c>
      <c r="BU195" s="112">
        <f t="shared" si="217"/>
        <v>0</v>
      </c>
      <c r="BV195" s="112">
        <f t="shared" si="218"/>
        <v>0</v>
      </c>
      <c r="CI195" s="4">
        <f t="shared" si="219"/>
        <v>45299</v>
      </c>
      <c r="CJ195" s="50">
        <f ca="1">IF($BH195=0,IF($CO195="",CJ194+R195,IF('283'!$K$251=1,VLOOKUP($CO195,PerStBal,2)+R195,IF('283'!$K$253=1,(VLOOKUP($CO195,PerPortion,2)*VLOOKUP($CO195,PerStBal,6))+R195,GL!BS195))),0)</f>
        <v>0</v>
      </c>
      <c r="CK195" s="425">
        <f ca="1">IF($BH195=0,IF($CO195="",CK194+T195,IF('283'!$K$251=1,IF(mname2&lt;&gt;"",VLOOKUP($CO195,PerStBal,3)+T195,0),IF('283'!$K$253=1,(VLOOKUP($CO195,PerPortion,3)*VLOOKUP($CO195,PerStBal,6))+T195,GL!BT195))),0)</f>
        <v>0</v>
      </c>
      <c r="CL195" s="425">
        <f ca="1">IF($BH195=0,IF($CO195="",CL194+V195,IF('283'!$K$251=1,IF(mname3&lt;&gt;"",VLOOKUP($CO195,PerStBal,4)+V195,0),IF('283'!$K$253=1,(VLOOKUP($CO195,PerPortion,4)*VLOOKUP($CO195,PerStBal,6))+V195,GL!BU195))),0)</f>
        <v>0</v>
      </c>
      <c r="CM195" s="425">
        <f ca="1">IF($BH195=0,IF($CO195="",CM194+X195,IF('283'!$K$251=1,IF(mname4&lt;&gt;"",VLOOKUP($CO195,PerStBal,5)+X195,0),IF('283'!$K$253=1,(VLOOKUP($CO195,PerPortion,5)*VLOOKUP($CO195,PerStBal,6))+X195,GL!BV195))),0)</f>
        <v>0</v>
      </c>
      <c r="CN195" s="50">
        <f t="shared" ca="1" si="220"/>
        <v>0</v>
      </c>
      <c r="CO195" s="4" t="str">
        <f t="shared" ca="1" si="221"/>
        <v/>
      </c>
      <c r="CP195" s="377">
        <f t="shared" si="182"/>
        <v>0</v>
      </c>
      <c r="DI195" s="4">
        <f t="shared" si="222"/>
        <v>45299</v>
      </c>
      <c r="DJ195" s="112">
        <f t="shared" ca="1" si="223"/>
        <v>0</v>
      </c>
      <c r="DK195" s="112">
        <f t="shared" si="224"/>
        <v>0</v>
      </c>
      <c r="DL195" s="4">
        <f t="shared" si="225"/>
        <v>45299</v>
      </c>
      <c r="DM195" s="112">
        <f t="shared" ca="1" si="226"/>
        <v>0</v>
      </c>
      <c r="DN195" s="112">
        <f t="shared" si="227"/>
        <v>0</v>
      </c>
      <c r="DO195" s="4">
        <f t="shared" si="228"/>
        <v>45299</v>
      </c>
      <c r="DP195" s="112">
        <f t="shared" ca="1" si="229"/>
        <v>0</v>
      </c>
      <c r="DQ195" s="112">
        <f t="shared" si="230"/>
        <v>0</v>
      </c>
      <c r="DR195" s="4">
        <f t="shared" si="231"/>
        <v>45299</v>
      </c>
      <c r="DS195" s="112">
        <f t="shared" ca="1" si="232"/>
        <v>0</v>
      </c>
      <c r="DT195" s="112">
        <f t="shared" si="233"/>
        <v>0</v>
      </c>
      <c r="DU195" s="4">
        <f t="shared" si="234"/>
        <v>45299</v>
      </c>
      <c r="DV195" s="112">
        <f t="shared" si="235"/>
        <v>0</v>
      </c>
      <c r="DW195" s="112">
        <f t="shared" si="236"/>
        <v>0</v>
      </c>
    </row>
    <row r="196" spans="2:127" x14ac:dyDescent="0.25">
      <c r="B196" s="85">
        <f t="shared" si="254"/>
        <v>183</v>
      </c>
      <c r="C196" s="86">
        <f t="shared" ca="1" si="255"/>
        <v>0</v>
      </c>
      <c r="D196" s="86">
        <f t="shared" ca="1" si="255"/>
        <v>0</v>
      </c>
      <c r="E196" s="86">
        <f t="shared" ca="1" si="255"/>
        <v>0</v>
      </c>
      <c r="F196" s="86">
        <f t="shared" ca="1" si="255"/>
        <v>0</v>
      </c>
      <c r="H196" s="87">
        <f t="shared" si="248"/>
        <v>183</v>
      </c>
      <c r="I196" s="88">
        <f t="shared" ca="1" si="256"/>
        <v>0</v>
      </c>
      <c r="J196" s="88">
        <f t="shared" ca="1" si="257"/>
        <v>0</v>
      </c>
      <c r="K196" s="88">
        <f t="shared" ca="1" si="258"/>
        <v>0</v>
      </c>
      <c r="L196" s="88">
        <f t="shared" ca="1" si="259"/>
        <v>0</v>
      </c>
      <c r="M196" s="88">
        <f t="shared" ca="1" si="260"/>
        <v>0</v>
      </c>
      <c r="Q196" s="4">
        <f t="shared" si="183"/>
        <v>45300</v>
      </c>
      <c r="R196" s="24">
        <f t="shared" si="184"/>
        <v>0</v>
      </c>
      <c r="S196" s="25">
        <f t="shared" si="185"/>
        <v>0</v>
      </c>
      <c r="T196" s="24">
        <f t="shared" si="186"/>
        <v>0</v>
      </c>
      <c r="U196" s="25">
        <f t="shared" si="187"/>
        <v>0</v>
      </c>
      <c r="V196" s="24">
        <f t="shared" si="188"/>
        <v>0</v>
      </c>
      <c r="W196" s="25">
        <f t="shared" si="189"/>
        <v>0</v>
      </c>
      <c r="X196" s="24">
        <f t="shared" si="190"/>
        <v>0</v>
      </c>
      <c r="Y196" s="26">
        <f t="shared" si="191"/>
        <v>0</v>
      </c>
      <c r="Z196" s="27">
        <f t="shared" si="192"/>
        <v>0</v>
      </c>
      <c r="AA196" s="28">
        <f t="shared" si="193"/>
        <v>45300</v>
      </c>
      <c r="AB196" s="24">
        <f t="shared" si="194"/>
        <v>0</v>
      </c>
      <c r="AC196" s="25">
        <f t="shared" si="195"/>
        <v>0</v>
      </c>
      <c r="AD196" s="28">
        <f t="shared" si="196"/>
        <v>45300</v>
      </c>
      <c r="AE196" s="24">
        <f t="shared" si="197"/>
        <v>0</v>
      </c>
      <c r="AF196" s="25">
        <f t="shared" si="198"/>
        <v>0</v>
      </c>
      <c r="AG196" s="28">
        <f t="shared" si="199"/>
        <v>45300</v>
      </c>
      <c r="AH196" s="24">
        <f t="shared" si="200"/>
        <v>0</v>
      </c>
      <c r="AI196" s="25">
        <f t="shared" si="201"/>
        <v>0</v>
      </c>
      <c r="AJ196" s="28">
        <f t="shared" si="202"/>
        <v>45300</v>
      </c>
      <c r="AK196" s="24">
        <f t="shared" si="203"/>
        <v>0</v>
      </c>
      <c r="AL196" s="25">
        <f t="shared" si="204"/>
        <v>0</v>
      </c>
      <c r="AM196" s="29">
        <f t="shared" si="205"/>
        <v>0</v>
      </c>
      <c r="AN196" s="28">
        <f t="shared" si="206"/>
        <v>45300</v>
      </c>
      <c r="AO196" s="373">
        <f t="shared" ref="AO196:AO259" si="261">IF(AND(UseSeg="Yes",AP196=0),0,SUM(AB196,AE196,AH196,AK196))</f>
        <v>0</v>
      </c>
      <c r="AP196" s="374">
        <f t="shared" ref="AP196:AP259" si="262">SUM(AC196,AF196,AI196,AL196:AM196)</f>
        <v>0</v>
      </c>
      <c r="AQ196" s="27">
        <f t="shared" ref="AQ196:AQ259" si="263">AB196+AC196</f>
        <v>0</v>
      </c>
      <c r="AR196" s="25">
        <f t="shared" ref="AR196:AR259" si="264">AE196+AF196</f>
        <v>0</v>
      </c>
      <c r="AS196" s="25">
        <f t="shared" ref="AS196:AS259" si="265">AH196+AI196</f>
        <v>0</v>
      </c>
      <c r="AT196" s="25">
        <f t="shared" ref="AT196:AT259" si="266">AK196+AL196</f>
        <v>0</v>
      </c>
      <c r="AU196" s="29">
        <f t="shared" si="238"/>
        <v>0</v>
      </c>
      <c r="AV196" s="27">
        <f t="shared" si="207"/>
        <v>0</v>
      </c>
      <c r="AW196" s="27">
        <f t="shared" si="208"/>
        <v>0</v>
      </c>
      <c r="AX196" s="27">
        <f t="shared" si="209"/>
        <v>0</v>
      </c>
      <c r="AY196" s="27">
        <f t="shared" si="210"/>
        <v>0</v>
      </c>
      <c r="BH196" s="2">
        <f t="shared" si="211"/>
        <v>0</v>
      </c>
      <c r="BI196" s="298" t="str">
        <f t="shared" si="212"/>
        <v/>
      </c>
      <c r="BJ196" s="298" t="str">
        <f t="shared" ref="BJ196:BJ259" si="267">IF(UseSeg="Yes",IF(AND(BH196=1,ROUND(AP197,1)&gt;0),AN196,""),"")</f>
        <v/>
      </c>
      <c r="BQ196" s="4">
        <f t="shared" si="213"/>
        <v>45300</v>
      </c>
      <c r="BR196" s="112">
        <f t="shared" si="214"/>
        <v>0</v>
      </c>
      <c r="BS196" s="112">
        <f t="shared" si="215"/>
        <v>0</v>
      </c>
      <c r="BT196" s="112">
        <f t="shared" si="216"/>
        <v>0</v>
      </c>
      <c r="BU196" s="112">
        <f t="shared" si="217"/>
        <v>0</v>
      </c>
      <c r="BV196" s="112">
        <f t="shared" si="218"/>
        <v>0</v>
      </c>
      <c r="CI196" s="4">
        <f t="shared" si="219"/>
        <v>45300</v>
      </c>
      <c r="CJ196" s="50">
        <f ca="1">IF($BH196=0,IF($CO196="",CJ195+R196,IF('283'!$K$251=1,VLOOKUP($CO196,PerStBal,2)+R196,IF('283'!$K$253=1,(VLOOKUP($CO196,PerPortion,2)*VLOOKUP($CO196,PerStBal,6))+R196,GL!BS196))),0)</f>
        <v>0</v>
      </c>
      <c r="CK196" s="425">
        <f ca="1">IF($BH196=0,IF($CO196="",CK195+T196,IF('283'!$K$251=1,IF(mname2&lt;&gt;"",VLOOKUP($CO196,PerStBal,3)+T196,0),IF('283'!$K$253=1,(VLOOKUP($CO196,PerPortion,3)*VLOOKUP($CO196,PerStBal,6))+T196,GL!BT196))),0)</f>
        <v>0</v>
      </c>
      <c r="CL196" s="425">
        <f ca="1">IF($BH196=0,IF($CO196="",CL195+V196,IF('283'!$K$251=1,IF(mname3&lt;&gt;"",VLOOKUP($CO196,PerStBal,4)+V196,0),IF('283'!$K$253=1,(VLOOKUP($CO196,PerPortion,4)*VLOOKUP($CO196,PerStBal,6))+V196,GL!BU196))),0)</f>
        <v>0</v>
      </c>
      <c r="CM196" s="425">
        <f ca="1">IF($BH196=0,IF($CO196="",CM195+X196,IF('283'!$K$251=1,IF(mname4&lt;&gt;"",VLOOKUP($CO196,PerStBal,5)+X196,0),IF('283'!$K$253=1,(VLOOKUP($CO196,PerPortion,5)*VLOOKUP($CO196,PerStBal,6))+X196,GL!BV196))),0)</f>
        <v>0</v>
      </c>
      <c r="CN196" s="50">
        <f t="shared" ca="1" si="220"/>
        <v>0</v>
      </c>
      <c r="CO196" s="4" t="str">
        <f t="shared" ca="1" si="221"/>
        <v/>
      </c>
      <c r="CP196" s="377">
        <f t="shared" ref="CP196:CP259" si="268">IF(AND(UseSeg="Yes",AP196=0),0,SUM(CJ196:CM196))</f>
        <v>0</v>
      </c>
      <c r="DI196" s="4">
        <f t="shared" si="222"/>
        <v>45300</v>
      </c>
      <c r="DJ196" s="112">
        <f t="shared" ca="1" si="223"/>
        <v>0</v>
      </c>
      <c r="DK196" s="112">
        <f t="shared" si="224"/>
        <v>0</v>
      </c>
      <c r="DL196" s="4">
        <f t="shared" si="225"/>
        <v>45300</v>
      </c>
      <c r="DM196" s="112">
        <f t="shared" ca="1" si="226"/>
        <v>0</v>
      </c>
      <c r="DN196" s="112">
        <f t="shared" si="227"/>
        <v>0</v>
      </c>
      <c r="DO196" s="4">
        <f t="shared" si="228"/>
        <v>45300</v>
      </c>
      <c r="DP196" s="112">
        <f t="shared" ca="1" si="229"/>
        <v>0</v>
      </c>
      <c r="DQ196" s="112">
        <f t="shared" si="230"/>
        <v>0</v>
      </c>
      <c r="DR196" s="4">
        <f t="shared" si="231"/>
        <v>45300</v>
      </c>
      <c r="DS196" s="112">
        <f t="shared" ca="1" si="232"/>
        <v>0</v>
      </c>
      <c r="DT196" s="112">
        <f t="shared" si="233"/>
        <v>0</v>
      </c>
      <c r="DU196" s="4">
        <f t="shared" si="234"/>
        <v>45300</v>
      </c>
      <c r="DV196" s="112">
        <f t="shared" si="235"/>
        <v>0</v>
      </c>
      <c r="DW196" s="112">
        <f t="shared" si="236"/>
        <v>0</v>
      </c>
    </row>
    <row r="197" spans="2:127" x14ac:dyDescent="0.25">
      <c r="B197" s="85">
        <f t="shared" si="254"/>
        <v>183</v>
      </c>
      <c r="C197" s="86">
        <f t="shared" ca="1" si="255"/>
        <v>0</v>
      </c>
      <c r="D197" s="86">
        <f t="shared" ca="1" si="255"/>
        <v>0</v>
      </c>
      <c r="E197" s="86">
        <f t="shared" ca="1" si="255"/>
        <v>0</v>
      </c>
      <c r="F197" s="86">
        <f t="shared" ca="1" si="255"/>
        <v>0</v>
      </c>
      <c r="H197" s="87">
        <f t="shared" si="248"/>
        <v>183</v>
      </c>
      <c r="I197" s="88">
        <f t="shared" ca="1" si="256"/>
        <v>0</v>
      </c>
      <c r="J197" s="88">
        <f t="shared" ca="1" si="257"/>
        <v>0</v>
      </c>
      <c r="K197" s="88">
        <f t="shared" ca="1" si="258"/>
        <v>0</v>
      </c>
      <c r="L197" s="88">
        <f t="shared" ca="1" si="259"/>
        <v>0</v>
      </c>
      <c r="M197" s="88">
        <f t="shared" ca="1" si="260"/>
        <v>0</v>
      </c>
      <c r="Q197" s="4">
        <f t="shared" ref="Q197:Q260" si="269">Q196+1</f>
        <v>45301</v>
      </c>
      <c r="R197" s="24">
        <f t="shared" ref="R197:R260" si="270">SUMIF($C$85:$C$98,Q197,$D$85:$D$98)-SUMIF($C$5:$C$84,Q197,$D$5:$D$84)-IF(AND($Q197&gt;=$D$101,$Q197&lt;$D$104,$D$100&lt;&gt;0),$D$100/($D$104-$D$101),0)</f>
        <v>0</v>
      </c>
      <c r="S197" s="25">
        <f t="shared" ref="S197:S260" si="271">SUMIF($J$5:$J$99,Q197,$K$5:$K$99)+IF(AND($Q197&gt;=$K$105,$Q197&lt;$K$102,$K$100&lt;&gt;0),$K$100/($K$102-$K$105),0)</f>
        <v>0</v>
      </c>
      <c r="T197" s="24">
        <f t="shared" ref="T197:T260" si="272">SUMIF($C$85:$C$98,Q197,$E$85:$E$98)-SUMIF($C$5:$C$84,Q197,$E$5:$E$84)-IF(AND($Q197&gt;=$E$101,$Q197&lt;$E$104,$E$100&lt;&gt;0),$E$100/($E$104-$E$101),0)</f>
        <v>0</v>
      </c>
      <c r="U197" s="25">
        <f t="shared" ref="U197:U260" si="273">SUMIF($J$5:$J$99,Q197,$L$5:$L$99)+IF(AND($Q197&gt;=$L$105,$Q197&lt;$L$102,$L$100&lt;&gt;0),$L$100/($L$102-$L$105),0)</f>
        <v>0</v>
      </c>
      <c r="V197" s="24">
        <f t="shared" ref="V197:V260" si="274">SUMIF($C$85:$C$98,$Q197,$F$85:$F$98)-SUMIF($C$5:$C$84,$Q197,$F$5:$F$84)-IF(AND($Q197&gt;=$F$101,$Q197&lt;$F$104,$F$100&lt;&gt;0),$F$100/($F$104-$F$101),0)</f>
        <v>0</v>
      </c>
      <c r="W197" s="25">
        <f t="shared" ref="W197:W260" si="275">SUMIF($J$5:$J$99,Q197,$M$5:$M$99)+IF(AND($Q197&gt;=$M$105,$Q197&lt;$M$102,$M$100&lt;&gt;0),$M$100/($M$102-$M$105),0)</f>
        <v>0</v>
      </c>
      <c r="X197" s="24">
        <f t="shared" ref="X197:X260" si="276">SUMIF($C$85:$C$98,$Q197,$G$85:$G$98)-SUMIF($C$5:$C$84,$Q197,$G$5:$G$84)-IF(AND($Q197&gt;=$G$101,$Q197&lt;$G$104,$G$100&lt;&gt;0),$G$100/($G$104-$G$101),0)</f>
        <v>0</v>
      </c>
      <c r="Y197" s="26">
        <f t="shared" ref="Y197:Y260" si="277">SUMIF($J$5:$J$99,Q197,$N$5:$N$99)+IF(AND($Q197&gt;=$N$105,$Q197&lt;$N$102,$N$100&lt;&gt;0),$N$100/($N$102-$N$105),0)</f>
        <v>0</v>
      </c>
      <c r="Z197" s="27">
        <f t="shared" ref="Z197:Z260" si="278">SUMIF($J$5:$J$99,$Q197,$O$5:$O$99)</f>
        <v>0</v>
      </c>
      <c r="AA197" s="28">
        <f t="shared" ref="AA197:AA260" si="279">Q197</f>
        <v>45301</v>
      </c>
      <c r="AB197" s="24">
        <f t="shared" ref="AB197:AB260" si="280">AB196+R197</f>
        <v>0</v>
      </c>
      <c r="AC197" s="25">
        <f t="shared" ref="AC197:AC260" si="281">AC196+S197</f>
        <v>0</v>
      </c>
      <c r="AD197" s="28">
        <f t="shared" ref="AD197:AD260" si="282">AA197</f>
        <v>45301</v>
      </c>
      <c r="AE197" s="24">
        <f t="shared" ref="AE197:AE260" si="283">AE196+T197</f>
        <v>0</v>
      </c>
      <c r="AF197" s="25">
        <f t="shared" ref="AF197:AF260" si="284">AF196+U197</f>
        <v>0</v>
      </c>
      <c r="AG197" s="28">
        <f t="shared" ref="AG197:AG260" si="285">AD197</f>
        <v>45301</v>
      </c>
      <c r="AH197" s="24">
        <f t="shared" ref="AH197:AH260" si="286">AH196+V197</f>
        <v>0</v>
      </c>
      <c r="AI197" s="25">
        <f t="shared" ref="AI197:AI260" si="287">AI196+W197</f>
        <v>0</v>
      </c>
      <c r="AJ197" s="28">
        <f t="shared" ref="AJ197:AJ260" si="288">AG197</f>
        <v>45301</v>
      </c>
      <c r="AK197" s="24">
        <f t="shared" ref="AK197:AK260" si="289">AK196+X197</f>
        <v>0</v>
      </c>
      <c r="AL197" s="25">
        <f t="shared" ref="AL197:AL260" si="290">AL196+Y197</f>
        <v>0</v>
      </c>
      <c r="AM197" s="29">
        <f t="shared" ref="AM197:AM260" si="291">AM196+Z197</f>
        <v>0</v>
      </c>
      <c r="AN197" s="28">
        <f t="shared" ref="AN197:AN260" si="292">AA197</f>
        <v>45301</v>
      </c>
      <c r="AO197" s="373">
        <f t="shared" si="261"/>
        <v>0</v>
      </c>
      <c r="AP197" s="374">
        <f t="shared" si="262"/>
        <v>0</v>
      </c>
      <c r="AQ197" s="27">
        <f t="shared" si="263"/>
        <v>0</v>
      </c>
      <c r="AR197" s="25">
        <f t="shared" si="264"/>
        <v>0</v>
      </c>
      <c r="AS197" s="25">
        <f t="shared" si="265"/>
        <v>0</v>
      </c>
      <c r="AT197" s="25">
        <f t="shared" si="266"/>
        <v>0</v>
      </c>
      <c r="AU197" s="29">
        <f t="shared" si="238"/>
        <v>0</v>
      </c>
      <c r="AV197" s="27">
        <f t="shared" ref="AV197:AV260" si="293">IF(VALUE(AC197)&gt;0,AB197,0)</f>
        <v>0</v>
      </c>
      <c r="AW197" s="27">
        <f t="shared" ref="AW197:AW260" si="294">IF(VALUE(AF197)&gt;0,AE197,0)</f>
        <v>0</v>
      </c>
      <c r="AX197" s="27">
        <f t="shared" ref="AX197:AX260" si="295">IF(VALUE(AI197)&gt;0,AH197,0)</f>
        <v>0</v>
      </c>
      <c r="AY197" s="27">
        <f t="shared" ref="AY197:AY260" si="296">IF(VALUE(AL197)&gt;0,AK197,0)</f>
        <v>0</v>
      </c>
      <c r="BH197" s="2">
        <f t="shared" ref="BH197:BH260" si="297">IF(AND(BH196=0,BI197&lt;&gt;""),1,IF(AND(BH196=1,BJ196=""),1,0))</f>
        <v>0</v>
      </c>
      <c r="BI197" s="298" t="str">
        <f t="shared" ref="BI197:BI260" si="298">IF(UseSeg="Yes",IF(AND(ROUND(AP196,1)&gt;0,ROUND(AP197,1)&lt;1),AN197,""),"")</f>
        <v/>
      </c>
      <c r="BJ197" s="298" t="str">
        <f t="shared" si="267"/>
        <v/>
      </c>
      <c r="BQ197" s="4">
        <f t="shared" ref="BQ197:BQ260" si="299">AN197</f>
        <v>45301</v>
      </c>
      <c r="BR197" s="112">
        <f t="shared" ref="BR197:BR260" si="300">SUM(AB197,AE197,AH197,AK197)</f>
        <v>0</v>
      </c>
      <c r="BS197" s="112">
        <f t="shared" ref="BS197:BS260" si="301">AB197</f>
        <v>0</v>
      </c>
      <c r="BT197" s="112">
        <f t="shared" ref="BT197:BT260" si="302">AE197</f>
        <v>0</v>
      </c>
      <c r="BU197" s="112">
        <f t="shared" ref="BU197:BU260" si="303">AH197</f>
        <v>0</v>
      </c>
      <c r="BV197" s="112">
        <f t="shared" ref="BV197:BV260" si="304">AK197</f>
        <v>0</v>
      </c>
      <c r="CI197" s="4">
        <f t="shared" ref="CI197:CI260" si="305">BQ197</f>
        <v>45301</v>
      </c>
      <c r="CJ197" s="50">
        <f ca="1">IF($BH197=0,IF($CO197="",CJ196+R197,IF('283'!$K$251=1,VLOOKUP($CO197,PerStBal,2)+R197,IF('283'!$K$253=1,(VLOOKUP($CO197,PerPortion,2)*VLOOKUP($CO197,PerStBal,6))+R197,GL!BS197))),0)</f>
        <v>0</v>
      </c>
      <c r="CK197" s="425">
        <f ca="1">IF($BH197=0,IF($CO197="",CK196+T197,IF('283'!$K$251=1,IF(mname2&lt;&gt;"",VLOOKUP($CO197,PerStBal,3)+T197,0),IF('283'!$K$253=1,(VLOOKUP($CO197,PerPortion,3)*VLOOKUP($CO197,PerStBal,6))+T197,GL!BT197))),0)</f>
        <v>0</v>
      </c>
      <c r="CL197" s="425">
        <f ca="1">IF($BH197=0,IF($CO197="",CL196+V197,IF('283'!$K$251=1,IF(mname3&lt;&gt;"",VLOOKUP($CO197,PerStBal,4)+V197,0),IF('283'!$K$253=1,(VLOOKUP($CO197,PerPortion,4)*VLOOKUP($CO197,PerStBal,6))+V197,GL!BU197))),0)</f>
        <v>0</v>
      </c>
      <c r="CM197" s="425">
        <f ca="1">IF($BH197=0,IF($CO197="",CM196+X197,IF('283'!$K$251=1,IF(mname4&lt;&gt;"",VLOOKUP($CO197,PerStBal,5)+X197,0),IF('283'!$K$253=1,(VLOOKUP($CO197,PerPortion,5)*VLOOKUP($CO197,PerStBal,6))+X197,GL!BV197))),0)</f>
        <v>0</v>
      </c>
      <c r="CN197" s="50">
        <f t="shared" ref="CN197:CN260" ca="1" si="306">IFERROR(VLOOKUP(CO197,PerStBal,6),0)</f>
        <v>0</v>
      </c>
      <c r="CO197" s="4" t="str">
        <f t="shared" ref="CO197:CO260" ca="1" si="307">IFERROR(VLOOKUP(CI197,PerStBal,1,FALSE),"")</f>
        <v/>
      </c>
      <c r="CP197" s="377">
        <f t="shared" si="268"/>
        <v>0</v>
      </c>
      <c r="DI197" s="4">
        <f t="shared" ref="DI197:DI260" si="308">CI197</f>
        <v>45301</v>
      </c>
      <c r="DJ197" s="112">
        <f t="shared" ref="DJ197:DJ260" ca="1" si="309">CJ197</f>
        <v>0</v>
      </c>
      <c r="DK197" s="112">
        <f t="shared" ref="DK197:DK260" si="310">AC197</f>
        <v>0</v>
      </c>
      <c r="DL197" s="4">
        <f t="shared" ref="DL197:DL260" si="311">DI197</f>
        <v>45301</v>
      </c>
      <c r="DM197" s="112">
        <f t="shared" ref="DM197:DM260" ca="1" si="312">CK197</f>
        <v>0</v>
      </c>
      <c r="DN197" s="112">
        <f t="shared" ref="DN197:DN260" si="313">AF197</f>
        <v>0</v>
      </c>
      <c r="DO197" s="4">
        <f t="shared" ref="DO197:DO260" si="314">DL197</f>
        <v>45301</v>
      </c>
      <c r="DP197" s="112">
        <f t="shared" ref="DP197:DP260" ca="1" si="315">CL197</f>
        <v>0</v>
      </c>
      <c r="DQ197" s="112">
        <f t="shared" ref="DQ197:DQ260" si="316">AI197</f>
        <v>0</v>
      </c>
      <c r="DR197" s="4">
        <f t="shared" ref="DR197:DR260" si="317">DO197</f>
        <v>45301</v>
      </c>
      <c r="DS197" s="112">
        <f t="shared" ref="DS197:DS260" ca="1" si="318">CM197</f>
        <v>0</v>
      </c>
      <c r="DT197" s="112">
        <f t="shared" ref="DT197:DT260" si="319">AL197</f>
        <v>0</v>
      </c>
      <c r="DU197" s="4">
        <f t="shared" ref="DU197:DU260" si="320">DR197</f>
        <v>45301</v>
      </c>
      <c r="DV197" s="112">
        <f t="shared" ref="DV197:DV260" si="321">CP197</f>
        <v>0</v>
      </c>
      <c r="DW197" s="112">
        <f t="shared" ref="DW197:DW260" si="322">AP197</f>
        <v>0</v>
      </c>
    </row>
    <row r="198" spans="2:127" x14ac:dyDescent="0.25">
      <c r="B198" s="85">
        <f t="shared" si="254"/>
        <v>183</v>
      </c>
      <c r="C198" s="86">
        <f t="shared" ca="1" si="255"/>
        <v>0</v>
      </c>
      <c r="D198" s="86">
        <f t="shared" ca="1" si="255"/>
        <v>0</v>
      </c>
      <c r="E198" s="86">
        <f t="shared" ca="1" si="255"/>
        <v>0</v>
      </c>
      <c r="F198" s="86">
        <f t="shared" ca="1" si="255"/>
        <v>0</v>
      </c>
      <c r="H198" s="87">
        <f t="shared" si="248"/>
        <v>183</v>
      </c>
      <c r="I198" s="88">
        <f t="shared" ca="1" si="256"/>
        <v>0</v>
      </c>
      <c r="J198" s="88">
        <f t="shared" ca="1" si="257"/>
        <v>0</v>
      </c>
      <c r="K198" s="88">
        <f t="shared" ca="1" si="258"/>
        <v>0</v>
      </c>
      <c r="L198" s="88">
        <f t="shared" ca="1" si="259"/>
        <v>0</v>
      </c>
      <c r="M198" s="88">
        <f t="shared" ca="1" si="260"/>
        <v>0</v>
      </c>
      <c r="Q198" s="4">
        <f t="shared" si="269"/>
        <v>45302</v>
      </c>
      <c r="R198" s="24">
        <f t="shared" si="270"/>
        <v>0</v>
      </c>
      <c r="S198" s="25">
        <f t="shared" si="271"/>
        <v>0</v>
      </c>
      <c r="T198" s="24">
        <f t="shared" si="272"/>
        <v>0</v>
      </c>
      <c r="U198" s="25">
        <f t="shared" si="273"/>
        <v>0</v>
      </c>
      <c r="V198" s="24">
        <f t="shared" si="274"/>
        <v>0</v>
      </c>
      <c r="W198" s="25">
        <f t="shared" si="275"/>
        <v>0</v>
      </c>
      <c r="X198" s="24">
        <f t="shared" si="276"/>
        <v>0</v>
      </c>
      <c r="Y198" s="26">
        <f t="shared" si="277"/>
        <v>0</v>
      </c>
      <c r="Z198" s="27">
        <f t="shared" si="278"/>
        <v>0</v>
      </c>
      <c r="AA198" s="28">
        <f t="shared" si="279"/>
        <v>45302</v>
      </c>
      <c r="AB198" s="24">
        <f t="shared" si="280"/>
        <v>0</v>
      </c>
      <c r="AC198" s="25">
        <f t="shared" si="281"/>
        <v>0</v>
      </c>
      <c r="AD198" s="28">
        <f t="shared" si="282"/>
        <v>45302</v>
      </c>
      <c r="AE198" s="24">
        <f t="shared" si="283"/>
        <v>0</v>
      </c>
      <c r="AF198" s="25">
        <f t="shared" si="284"/>
        <v>0</v>
      </c>
      <c r="AG198" s="28">
        <f t="shared" si="285"/>
        <v>45302</v>
      </c>
      <c r="AH198" s="24">
        <f t="shared" si="286"/>
        <v>0</v>
      </c>
      <c r="AI198" s="25">
        <f t="shared" si="287"/>
        <v>0</v>
      </c>
      <c r="AJ198" s="28">
        <f t="shared" si="288"/>
        <v>45302</v>
      </c>
      <c r="AK198" s="24">
        <f t="shared" si="289"/>
        <v>0</v>
      </c>
      <c r="AL198" s="25">
        <f t="shared" si="290"/>
        <v>0</v>
      </c>
      <c r="AM198" s="29">
        <f t="shared" si="291"/>
        <v>0</v>
      </c>
      <c r="AN198" s="28">
        <f t="shared" si="292"/>
        <v>45302</v>
      </c>
      <c r="AO198" s="373">
        <f t="shared" si="261"/>
        <v>0</v>
      </c>
      <c r="AP198" s="374">
        <f t="shared" si="262"/>
        <v>0</v>
      </c>
      <c r="AQ198" s="27">
        <f t="shared" si="263"/>
        <v>0</v>
      </c>
      <c r="AR198" s="25">
        <f t="shared" si="264"/>
        <v>0</v>
      </c>
      <c r="AS198" s="25">
        <f t="shared" si="265"/>
        <v>0</v>
      </c>
      <c r="AT198" s="25">
        <f t="shared" si="266"/>
        <v>0</v>
      </c>
      <c r="AU198" s="29">
        <f t="shared" ref="AU198:AU261" si="323">AM198</f>
        <v>0</v>
      </c>
      <c r="AV198" s="27">
        <f t="shared" si="293"/>
        <v>0</v>
      </c>
      <c r="AW198" s="27">
        <f t="shared" si="294"/>
        <v>0</v>
      </c>
      <c r="AX198" s="27">
        <f t="shared" si="295"/>
        <v>0</v>
      </c>
      <c r="AY198" s="27">
        <f t="shared" si="296"/>
        <v>0</v>
      </c>
      <c r="BH198" s="2">
        <f t="shared" si="297"/>
        <v>0</v>
      </c>
      <c r="BI198" s="298" t="str">
        <f t="shared" si="298"/>
        <v/>
      </c>
      <c r="BJ198" s="298" t="str">
        <f t="shared" si="267"/>
        <v/>
      </c>
      <c r="BQ198" s="4">
        <f t="shared" si="299"/>
        <v>45302</v>
      </c>
      <c r="BR198" s="112">
        <f t="shared" si="300"/>
        <v>0</v>
      </c>
      <c r="BS198" s="112">
        <f t="shared" si="301"/>
        <v>0</v>
      </c>
      <c r="BT198" s="112">
        <f t="shared" si="302"/>
        <v>0</v>
      </c>
      <c r="BU198" s="112">
        <f t="shared" si="303"/>
        <v>0</v>
      </c>
      <c r="BV198" s="112">
        <f t="shared" si="304"/>
        <v>0</v>
      </c>
      <c r="CI198" s="4">
        <f t="shared" si="305"/>
        <v>45302</v>
      </c>
      <c r="CJ198" s="50">
        <f ca="1">IF($BH198=0,IF($CO198="",CJ197+R198,IF('283'!$K$251=1,VLOOKUP($CO198,PerStBal,2)+R198,IF('283'!$K$253=1,(VLOOKUP($CO198,PerPortion,2)*VLOOKUP($CO198,PerStBal,6))+R198,GL!BS198))),0)</f>
        <v>0</v>
      </c>
      <c r="CK198" s="425">
        <f ca="1">IF($BH198=0,IF($CO198="",CK197+T198,IF('283'!$K$251=1,IF(mname2&lt;&gt;"",VLOOKUP($CO198,PerStBal,3)+T198,0),IF('283'!$K$253=1,(VLOOKUP($CO198,PerPortion,3)*VLOOKUP($CO198,PerStBal,6))+T198,GL!BT198))),0)</f>
        <v>0</v>
      </c>
      <c r="CL198" s="425">
        <f ca="1">IF($BH198=0,IF($CO198="",CL197+V198,IF('283'!$K$251=1,IF(mname3&lt;&gt;"",VLOOKUP($CO198,PerStBal,4)+V198,0),IF('283'!$K$253=1,(VLOOKUP($CO198,PerPortion,4)*VLOOKUP($CO198,PerStBal,6))+V198,GL!BU198))),0)</f>
        <v>0</v>
      </c>
      <c r="CM198" s="425">
        <f ca="1">IF($BH198=0,IF($CO198="",CM197+X198,IF('283'!$K$251=1,IF(mname4&lt;&gt;"",VLOOKUP($CO198,PerStBal,5)+X198,0),IF('283'!$K$253=1,(VLOOKUP($CO198,PerPortion,5)*VLOOKUP($CO198,PerStBal,6))+X198,GL!BV198))),0)</f>
        <v>0</v>
      </c>
      <c r="CN198" s="50">
        <f t="shared" ca="1" si="306"/>
        <v>0</v>
      </c>
      <c r="CO198" s="4" t="str">
        <f t="shared" ca="1" si="307"/>
        <v/>
      </c>
      <c r="CP198" s="377">
        <f t="shared" si="268"/>
        <v>0</v>
      </c>
      <c r="DI198" s="4">
        <f t="shared" si="308"/>
        <v>45302</v>
      </c>
      <c r="DJ198" s="112">
        <f t="shared" ca="1" si="309"/>
        <v>0</v>
      </c>
      <c r="DK198" s="112">
        <f t="shared" si="310"/>
        <v>0</v>
      </c>
      <c r="DL198" s="4">
        <f t="shared" si="311"/>
        <v>45302</v>
      </c>
      <c r="DM198" s="112">
        <f t="shared" ca="1" si="312"/>
        <v>0</v>
      </c>
      <c r="DN198" s="112">
        <f t="shared" si="313"/>
        <v>0</v>
      </c>
      <c r="DO198" s="4">
        <f t="shared" si="314"/>
        <v>45302</v>
      </c>
      <c r="DP198" s="112">
        <f t="shared" ca="1" si="315"/>
        <v>0</v>
      </c>
      <c r="DQ198" s="112">
        <f t="shared" si="316"/>
        <v>0</v>
      </c>
      <c r="DR198" s="4">
        <f t="shared" si="317"/>
        <v>45302</v>
      </c>
      <c r="DS198" s="112">
        <f t="shared" ca="1" si="318"/>
        <v>0</v>
      </c>
      <c r="DT198" s="112">
        <f t="shared" si="319"/>
        <v>0</v>
      </c>
      <c r="DU198" s="4">
        <f t="shared" si="320"/>
        <v>45302</v>
      </c>
      <c r="DV198" s="112">
        <f t="shared" si="321"/>
        <v>0</v>
      </c>
      <c r="DW198" s="112">
        <f t="shared" si="322"/>
        <v>0</v>
      </c>
    </row>
    <row r="199" spans="2:127" x14ac:dyDescent="0.25">
      <c r="B199" s="85">
        <f t="shared" si="254"/>
        <v>183</v>
      </c>
      <c r="C199" s="86">
        <f t="shared" ca="1" si="255"/>
        <v>0</v>
      </c>
      <c r="D199" s="86">
        <f t="shared" ca="1" si="255"/>
        <v>0</v>
      </c>
      <c r="E199" s="86">
        <f t="shared" ca="1" si="255"/>
        <v>0</v>
      </c>
      <c r="F199" s="86">
        <f t="shared" ca="1" si="255"/>
        <v>0</v>
      </c>
      <c r="H199" s="87">
        <f t="shared" si="248"/>
        <v>183</v>
      </c>
      <c r="I199" s="88">
        <f t="shared" ca="1" si="256"/>
        <v>0</v>
      </c>
      <c r="J199" s="88">
        <f t="shared" ca="1" si="257"/>
        <v>0</v>
      </c>
      <c r="K199" s="88">
        <f t="shared" ca="1" si="258"/>
        <v>0</v>
      </c>
      <c r="L199" s="88">
        <f t="shared" ca="1" si="259"/>
        <v>0</v>
      </c>
      <c r="M199" s="88">
        <f t="shared" ca="1" si="260"/>
        <v>0</v>
      </c>
      <c r="Q199" s="4">
        <f t="shared" si="269"/>
        <v>45303</v>
      </c>
      <c r="R199" s="24">
        <f t="shared" si="270"/>
        <v>0</v>
      </c>
      <c r="S199" s="25">
        <f t="shared" si="271"/>
        <v>0</v>
      </c>
      <c r="T199" s="24">
        <f t="shared" si="272"/>
        <v>0</v>
      </c>
      <c r="U199" s="25">
        <f t="shared" si="273"/>
        <v>0</v>
      </c>
      <c r="V199" s="24">
        <f t="shared" si="274"/>
        <v>0</v>
      </c>
      <c r="W199" s="25">
        <f t="shared" si="275"/>
        <v>0</v>
      </c>
      <c r="X199" s="24">
        <f t="shared" si="276"/>
        <v>0</v>
      </c>
      <c r="Y199" s="26">
        <f t="shared" si="277"/>
        <v>0</v>
      </c>
      <c r="Z199" s="27">
        <f t="shared" si="278"/>
        <v>0</v>
      </c>
      <c r="AA199" s="28">
        <f t="shared" si="279"/>
        <v>45303</v>
      </c>
      <c r="AB199" s="24">
        <f t="shared" si="280"/>
        <v>0</v>
      </c>
      <c r="AC199" s="25">
        <f t="shared" si="281"/>
        <v>0</v>
      </c>
      <c r="AD199" s="28">
        <f t="shared" si="282"/>
        <v>45303</v>
      </c>
      <c r="AE199" s="24">
        <f t="shared" si="283"/>
        <v>0</v>
      </c>
      <c r="AF199" s="25">
        <f t="shared" si="284"/>
        <v>0</v>
      </c>
      <c r="AG199" s="28">
        <f t="shared" si="285"/>
        <v>45303</v>
      </c>
      <c r="AH199" s="24">
        <f t="shared" si="286"/>
        <v>0</v>
      </c>
      <c r="AI199" s="25">
        <f t="shared" si="287"/>
        <v>0</v>
      </c>
      <c r="AJ199" s="28">
        <f t="shared" si="288"/>
        <v>45303</v>
      </c>
      <c r="AK199" s="24">
        <f t="shared" si="289"/>
        <v>0</v>
      </c>
      <c r="AL199" s="25">
        <f t="shared" si="290"/>
        <v>0</v>
      </c>
      <c r="AM199" s="29">
        <f t="shared" si="291"/>
        <v>0</v>
      </c>
      <c r="AN199" s="28">
        <f t="shared" si="292"/>
        <v>45303</v>
      </c>
      <c r="AO199" s="373">
        <f t="shared" si="261"/>
        <v>0</v>
      </c>
      <c r="AP199" s="374">
        <f t="shared" si="262"/>
        <v>0</v>
      </c>
      <c r="AQ199" s="27">
        <f t="shared" si="263"/>
        <v>0</v>
      </c>
      <c r="AR199" s="25">
        <f t="shared" si="264"/>
        <v>0</v>
      </c>
      <c r="AS199" s="25">
        <f t="shared" si="265"/>
        <v>0</v>
      </c>
      <c r="AT199" s="25">
        <f t="shared" si="266"/>
        <v>0</v>
      </c>
      <c r="AU199" s="29">
        <f t="shared" si="323"/>
        <v>0</v>
      </c>
      <c r="AV199" s="27">
        <f t="shared" si="293"/>
        <v>0</v>
      </c>
      <c r="AW199" s="27">
        <f t="shared" si="294"/>
        <v>0</v>
      </c>
      <c r="AX199" s="27">
        <f t="shared" si="295"/>
        <v>0</v>
      </c>
      <c r="AY199" s="27">
        <f t="shared" si="296"/>
        <v>0</v>
      </c>
      <c r="BH199" s="2">
        <f t="shared" si="297"/>
        <v>0</v>
      </c>
      <c r="BI199" s="298" t="str">
        <f t="shared" si="298"/>
        <v/>
      </c>
      <c r="BJ199" s="298" t="str">
        <f t="shared" si="267"/>
        <v/>
      </c>
      <c r="BQ199" s="4">
        <f t="shared" si="299"/>
        <v>45303</v>
      </c>
      <c r="BR199" s="112">
        <f t="shared" si="300"/>
        <v>0</v>
      </c>
      <c r="BS199" s="112">
        <f t="shared" si="301"/>
        <v>0</v>
      </c>
      <c r="BT199" s="112">
        <f t="shared" si="302"/>
        <v>0</v>
      </c>
      <c r="BU199" s="112">
        <f t="shared" si="303"/>
        <v>0</v>
      </c>
      <c r="BV199" s="112">
        <f t="shared" si="304"/>
        <v>0</v>
      </c>
      <c r="CI199" s="4">
        <f t="shared" si="305"/>
        <v>45303</v>
      </c>
      <c r="CJ199" s="50">
        <f ca="1">IF($BH199=0,IF($CO199="",CJ198+R199,IF('283'!$K$251=1,VLOOKUP($CO199,PerStBal,2)+R199,IF('283'!$K$253=1,(VLOOKUP($CO199,PerPortion,2)*VLOOKUP($CO199,PerStBal,6))+R199,GL!BS199))),0)</f>
        <v>0</v>
      </c>
      <c r="CK199" s="425">
        <f ca="1">IF($BH199=0,IF($CO199="",CK198+T199,IF('283'!$K$251=1,IF(mname2&lt;&gt;"",VLOOKUP($CO199,PerStBal,3)+T199,0),IF('283'!$K$253=1,(VLOOKUP($CO199,PerPortion,3)*VLOOKUP($CO199,PerStBal,6))+T199,GL!BT199))),0)</f>
        <v>0</v>
      </c>
      <c r="CL199" s="425">
        <f ca="1">IF($BH199=0,IF($CO199="",CL198+V199,IF('283'!$K$251=1,IF(mname3&lt;&gt;"",VLOOKUP($CO199,PerStBal,4)+V199,0),IF('283'!$K$253=1,(VLOOKUP($CO199,PerPortion,4)*VLOOKUP($CO199,PerStBal,6))+V199,GL!BU199))),0)</f>
        <v>0</v>
      </c>
      <c r="CM199" s="425">
        <f ca="1">IF($BH199=0,IF($CO199="",CM198+X199,IF('283'!$K$251=1,IF(mname4&lt;&gt;"",VLOOKUP($CO199,PerStBal,5)+X199,0),IF('283'!$K$253=1,(VLOOKUP($CO199,PerPortion,5)*VLOOKUP($CO199,PerStBal,6))+X199,GL!BV199))),0)</f>
        <v>0</v>
      </c>
      <c r="CN199" s="50">
        <f t="shared" ca="1" si="306"/>
        <v>0</v>
      </c>
      <c r="CO199" s="4" t="str">
        <f t="shared" ca="1" si="307"/>
        <v/>
      </c>
      <c r="CP199" s="377">
        <f t="shared" si="268"/>
        <v>0</v>
      </c>
      <c r="DI199" s="4">
        <f t="shared" si="308"/>
        <v>45303</v>
      </c>
      <c r="DJ199" s="112">
        <f t="shared" ca="1" si="309"/>
        <v>0</v>
      </c>
      <c r="DK199" s="112">
        <f t="shared" si="310"/>
        <v>0</v>
      </c>
      <c r="DL199" s="4">
        <f t="shared" si="311"/>
        <v>45303</v>
      </c>
      <c r="DM199" s="112">
        <f t="shared" ca="1" si="312"/>
        <v>0</v>
      </c>
      <c r="DN199" s="112">
        <f t="shared" si="313"/>
        <v>0</v>
      </c>
      <c r="DO199" s="4">
        <f t="shared" si="314"/>
        <v>45303</v>
      </c>
      <c r="DP199" s="112">
        <f t="shared" ca="1" si="315"/>
        <v>0</v>
      </c>
      <c r="DQ199" s="112">
        <f t="shared" si="316"/>
        <v>0</v>
      </c>
      <c r="DR199" s="4">
        <f t="shared" si="317"/>
        <v>45303</v>
      </c>
      <c r="DS199" s="112">
        <f t="shared" ca="1" si="318"/>
        <v>0</v>
      </c>
      <c r="DT199" s="112">
        <f t="shared" si="319"/>
        <v>0</v>
      </c>
      <c r="DU199" s="4">
        <f t="shared" si="320"/>
        <v>45303</v>
      </c>
      <c r="DV199" s="112">
        <f t="shared" si="321"/>
        <v>0</v>
      </c>
      <c r="DW199" s="112">
        <f t="shared" si="322"/>
        <v>0</v>
      </c>
    </row>
    <row r="200" spans="2:127" x14ac:dyDescent="0.25">
      <c r="B200" s="85">
        <f t="shared" si="254"/>
        <v>183</v>
      </c>
      <c r="C200" s="86">
        <f t="shared" ca="1" si="255"/>
        <v>0</v>
      </c>
      <c r="D200" s="86">
        <f t="shared" ca="1" si="255"/>
        <v>0</v>
      </c>
      <c r="E200" s="86">
        <f t="shared" ca="1" si="255"/>
        <v>0</v>
      </c>
      <c r="F200" s="86">
        <f t="shared" ca="1" si="255"/>
        <v>0</v>
      </c>
      <c r="H200" s="87">
        <f t="shared" si="248"/>
        <v>183</v>
      </c>
      <c r="I200" s="88">
        <f t="shared" ca="1" si="256"/>
        <v>0</v>
      </c>
      <c r="J200" s="88">
        <f t="shared" ca="1" si="257"/>
        <v>0</v>
      </c>
      <c r="K200" s="88">
        <f t="shared" ca="1" si="258"/>
        <v>0</v>
      </c>
      <c r="L200" s="88">
        <f t="shared" ca="1" si="259"/>
        <v>0</v>
      </c>
      <c r="M200" s="88">
        <f t="shared" ca="1" si="260"/>
        <v>0</v>
      </c>
      <c r="Q200" s="4">
        <f t="shared" si="269"/>
        <v>45304</v>
      </c>
      <c r="R200" s="24">
        <f t="shared" si="270"/>
        <v>0</v>
      </c>
      <c r="S200" s="25">
        <f t="shared" si="271"/>
        <v>0</v>
      </c>
      <c r="T200" s="24">
        <f t="shared" si="272"/>
        <v>0</v>
      </c>
      <c r="U200" s="25">
        <f t="shared" si="273"/>
        <v>0</v>
      </c>
      <c r="V200" s="24">
        <f t="shared" si="274"/>
        <v>0</v>
      </c>
      <c r="W200" s="25">
        <f t="shared" si="275"/>
        <v>0</v>
      </c>
      <c r="X200" s="24">
        <f t="shared" si="276"/>
        <v>0</v>
      </c>
      <c r="Y200" s="26">
        <f t="shared" si="277"/>
        <v>0</v>
      </c>
      <c r="Z200" s="27">
        <f t="shared" si="278"/>
        <v>0</v>
      </c>
      <c r="AA200" s="28">
        <f t="shared" si="279"/>
        <v>45304</v>
      </c>
      <c r="AB200" s="24">
        <f t="shared" si="280"/>
        <v>0</v>
      </c>
      <c r="AC200" s="25">
        <f t="shared" si="281"/>
        <v>0</v>
      </c>
      <c r="AD200" s="28">
        <f t="shared" si="282"/>
        <v>45304</v>
      </c>
      <c r="AE200" s="24">
        <f t="shared" si="283"/>
        <v>0</v>
      </c>
      <c r="AF200" s="25">
        <f t="shared" si="284"/>
        <v>0</v>
      </c>
      <c r="AG200" s="28">
        <f t="shared" si="285"/>
        <v>45304</v>
      </c>
      <c r="AH200" s="24">
        <f t="shared" si="286"/>
        <v>0</v>
      </c>
      <c r="AI200" s="25">
        <f t="shared" si="287"/>
        <v>0</v>
      </c>
      <c r="AJ200" s="28">
        <f t="shared" si="288"/>
        <v>45304</v>
      </c>
      <c r="AK200" s="24">
        <f t="shared" si="289"/>
        <v>0</v>
      </c>
      <c r="AL200" s="25">
        <f t="shared" si="290"/>
        <v>0</v>
      </c>
      <c r="AM200" s="29">
        <f t="shared" si="291"/>
        <v>0</v>
      </c>
      <c r="AN200" s="28">
        <f t="shared" si="292"/>
        <v>45304</v>
      </c>
      <c r="AO200" s="373">
        <f t="shared" si="261"/>
        <v>0</v>
      </c>
      <c r="AP200" s="374">
        <f t="shared" si="262"/>
        <v>0</v>
      </c>
      <c r="AQ200" s="27">
        <f t="shared" si="263"/>
        <v>0</v>
      </c>
      <c r="AR200" s="25">
        <f t="shared" si="264"/>
        <v>0</v>
      </c>
      <c r="AS200" s="25">
        <f t="shared" si="265"/>
        <v>0</v>
      </c>
      <c r="AT200" s="25">
        <f t="shared" si="266"/>
        <v>0</v>
      </c>
      <c r="AU200" s="29">
        <f t="shared" si="323"/>
        <v>0</v>
      </c>
      <c r="AV200" s="27">
        <f t="shared" si="293"/>
        <v>0</v>
      </c>
      <c r="AW200" s="27">
        <f t="shared" si="294"/>
        <v>0</v>
      </c>
      <c r="AX200" s="27">
        <f t="shared" si="295"/>
        <v>0</v>
      </c>
      <c r="AY200" s="27">
        <f t="shared" si="296"/>
        <v>0</v>
      </c>
      <c r="BH200" s="2">
        <f t="shared" si="297"/>
        <v>0</v>
      </c>
      <c r="BI200" s="298" t="str">
        <f t="shared" si="298"/>
        <v/>
      </c>
      <c r="BJ200" s="298" t="str">
        <f t="shared" si="267"/>
        <v/>
      </c>
      <c r="BQ200" s="4">
        <f t="shared" si="299"/>
        <v>45304</v>
      </c>
      <c r="BR200" s="112">
        <f t="shared" si="300"/>
        <v>0</v>
      </c>
      <c r="BS200" s="112">
        <f t="shared" si="301"/>
        <v>0</v>
      </c>
      <c r="BT200" s="112">
        <f t="shared" si="302"/>
        <v>0</v>
      </c>
      <c r="BU200" s="112">
        <f t="shared" si="303"/>
        <v>0</v>
      </c>
      <c r="BV200" s="112">
        <f t="shared" si="304"/>
        <v>0</v>
      </c>
      <c r="CI200" s="4">
        <f t="shared" si="305"/>
        <v>45304</v>
      </c>
      <c r="CJ200" s="50">
        <f ca="1">IF($BH200=0,IF($CO200="",CJ199+R200,IF('283'!$K$251=1,VLOOKUP($CO200,PerStBal,2)+R200,IF('283'!$K$253=1,(VLOOKUP($CO200,PerPortion,2)*VLOOKUP($CO200,PerStBal,6))+R200,GL!BS200))),0)</f>
        <v>0</v>
      </c>
      <c r="CK200" s="425">
        <f ca="1">IF($BH200=0,IF($CO200="",CK199+T200,IF('283'!$K$251=1,IF(mname2&lt;&gt;"",VLOOKUP($CO200,PerStBal,3)+T200,0),IF('283'!$K$253=1,(VLOOKUP($CO200,PerPortion,3)*VLOOKUP($CO200,PerStBal,6))+T200,GL!BT200))),0)</f>
        <v>0</v>
      </c>
      <c r="CL200" s="425">
        <f ca="1">IF($BH200=0,IF($CO200="",CL199+V200,IF('283'!$K$251=1,IF(mname3&lt;&gt;"",VLOOKUP($CO200,PerStBal,4)+V200,0),IF('283'!$K$253=1,(VLOOKUP($CO200,PerPortion,4)*VLOOKUP($CO200,PerStBal,6))+V200,GL!BU200))),0)</f>
        <v>0</v>
      </c>
      <c r="CM200" s="425">
        <f ca="1">IF($BH200=0,IF($CO200="",CM199+X200,IF('283'!$K$251=1,IF(mname4&lt;&gt;"",VLOOKUP($CO200,PerStBal,5)+X200,0),IF('283'!$K$253=1,(VLOOKUP($CO200,PerPortion,5)*VLOOKUP($CO200,PerStBal,6))+X200,GL!BV200))),0)</f>
        <v>0</v>
      </c>
      <c r="CN200" s="50">
        <f t="shared" ca="1" si="306"/>
        <v>0</v>
      </c>
      <c r="CO200" s="4" t="str">
        <f t="shared" ca="1" si="307"/>
        <v/>
      </c>
      <c r="CP200" s="377">
        <f t="shared" si="268"/>
        <v>0</v>
      </c>
      <c r="DI200" s="4">
        <f t="shared" si="308"/>
        <v>45304</v>
      </c>
      <c r="DJ200" s="112">
        <f t="shared" ca="1" si="309"/>
        <v>0</v>
      </c>
      <c r="DK200" s="112">
        <f t="shared" si="310"/>
        <v>0</v>
      </c>
      <c r="DL200" s="4">
        <f t="shared" si="311"/>
        <v>45304</v>
      </c>
      <c r="DM200" s="112">
        <f t="shared" ca="1" si="312"/>
        <v>0</v>
      </c>
      <c r="DN200" s="112">
        <f t="shared" si="313"/>
        <v>0</v>
      </c>
      <c r="DO200" s="4">
        <f t="shared" si="314"/>
        <v>45304</v>
      </c>
      <c r="DP200" s="112">
        <f t="shared" ca="1" si="315"/>
        <v>0</v>
      </c>
      <c r="DQ200" s="112">
        <f t="shared" si="316"/>
        <v>0</v>
      </c>
      <c r="DR200" s="4">
        <f t="shared" si="317"/>
        <v>45304</v>
      </c>
      <c r="DS200" s="112">
        <f t="shared" ca="1" si="318"/>
        <v>0</v>
      </c>
      <c r="DT200" s="112">
        <f t="shared" si="319"/>
        <v>0</v>
      </c>
      <c r="DU200" s="4">
        <f t="shared" si="320"/>
        <v>45304</v>
      </c>
      <c r="DV200" s="112">
        <f t="shared" si="321"/>
        <v>0</v>
      </c>
      <c r="DW200" s="112">
        <f t="shared" si="322"/>
        <v>0</v>
      </c>
    </row>
    <row r="201" spans="2:127" x14ac:dyDescent="0.25">
      <c r="B201" s="85">
        <f t="shared" si="254"/>
        <v>183</v>
      </c>
      <c r="C201" s="86">
        <f t="shared" ca="1" si="255"/>
        <v>0</v>
      </c>
      <c r="D201" s="86">
        <f t="shared" ca="1" si="255"/>
        <v>0</v>
      </c>
      <c r="E201" s="86">
        <f t="shared" ca="1" si="255"/>
        <v>0</v>
      </c>
      <c r="F201" s="86">
        <f t="shared" ca="1" si="255"/>
        <v>0</v>
      </c>
      <c r="H201" s="87">
        <f t="shared" si="248"/>
        <v>183</v>
      </c>
      <c r="I201" s="88">
        <f t="shared" ca="1" si="256"/>
        <v>0</v>
      </c>
      <c r="J201" s="88">
        <f t="shared" ca="1" si="257"/>
        <v>0</v>
      </c>
      <c r="K201" s="88">
        <f t="shared" ca="1" si="258"/>
        <v>0</v>
      </c>
      <c r="L201" s="88">
        <f t="shared" ca="1" si="259"/>
        <v>0</v>
      </c>
      <c r="M201" s="88">
        <f t="shared" ca="1" si="260"/>
        <v>0</v>
      </c>
      <c r="Q201" s="4">
        <f t="shared" si="269"/>
        <v>45305</v>
      </c>
      <c r="R201" s="24">
        <f t="shared" si="270"/>
        <v>0</v>
      </c>
      <c r="S201" s="25">
        <f t="shared" si="271"/>
        <v>0</v>
      </c>
      <c r="T201" s="24">
        <f t="shared" si="272"/>
        <v>0</v>
      </c>
      <c r="U201" s="25">
        <f t="shared" si="273"/>
        <v>0</v>
      </c>
      <c r="V201" s="24">
        <f t="shared" si="274"/>
        <v>0</v>
      </c>
      <c r="W201" s="25">
        <f t="shared" si="275"/>
        <v>0</v>
      </c>
      <c r="X201" s="24">
        <f t="shared" si="276"/>
        <v>0</v>
      </c>
      <c r="Y201" s="26">
        <f t="shared" si="277"/>
        <v>0</v>
      </c>
      <c r="Z201" s="27">
        <f t="shared" si="278"/>
        <v>0</v>
      </c>
      <c r="AA201" s="28">
        <f t="shared" si="279"/>
        <v>45305</v>
      </c>
      <c r="AB201" s="24">
        <f t="shared" si="280"/>
        <v>0</v>
      </c>
      <c r="AC201" s="25">
        <f t="shared" si="281"/>
        <v>0</v>
      </c>
      <c r="AD201" s="28">
        <f t="shared" si="282"/>
        <v>45305</v>
      </c>
      <c r="AE201" s="24">
        <f t="shared" si="283"/>
        <v>0</v>
      </c>
      <c r="AF201" s="25">
        <f t="shared" si="284"/>
        <v>0</v>
      </c>
      <c r="AG201" s="28">
        <f t="shared" si="285"/>
        <v>45305</v>
      </c>
      <c r="AH201" s="24">
        <f t="shared" si="286"/>
        <v>0</v>
      </c>
      <c r="AI201" s="25">
        <f t="shared" si="287"/>
        <v>0</v>
      </c>
      <c r="AJ201" s="28">
        <f t="shared" si="288"/>
        <v>45305</v>
      </c>
      <c r="AK201" s="24">
        <f t="shared" si="289"/>
        <v>0</v>
      </c>
      <c r="AL201" s="25">
        <f t="shared" si="290"/>
        <v>0</v>
      </c>
      <c r="AM201" s="29">
        <f t="shared" si="291"/>
        <v>0</v>
      </c>
      <c r="AN201" s="28">
        <f t="shared" si="292"/>
        <v>45305</v>
      </c>
      <c r="AO201" s="373">
        <f t="shared" si="261"/>
        <v>0</v>
      </c>
      <c r="AP201" s="374">
        <f t="shared" si="262"/>
        <v>0</v>
      </c>
      <c r="AQ201" s="27">
        <f t="shared" si="263"/>
        <v>0</v>
      </c>
      <c r="AR201" s="25">
        <f t="shared" si="264"/>
        <v>0</v>
      </c>
      <c r="AS201" s="25">
        <f t="shared" si="265"/>
        <v>0</v>
      </c>
      <c r="AT201" s="25">
        <f t="shared" si="266"/>
        <v>0</v>
      </c>
      <c r="AU201" s="29">
        <f t="shared" si="323"/>
        <v>0</v>
      </c>
      <c r="AV201" s="27">
        <f t="shared" si="293"/>
        <v>0</v>
      </c>
      <c r="AW201" s="27">
        <f t="shared" si="294"/>
        <v>0</v>
      </c>
      <c r="AX201" s="27">
        <f t="shared" si="295"/>
        <v>0</v>
      </c>
      <c r="AY201" s="27">
        <f t="shared" si="296"/>
        <v>0</v>
      </c>
      <c r="BH201" s="2">
        <f t="shared" si="297"/>
        <v>0</v>
      </c>
      <c r="BI201" s="298" t="str">
        <f t="shared" si="298"/>
        <v/>
      </c>
      <c r="BJ201" s="298" t="str">
        <f t="shared" si="267"/>
        <v/>
      </c>
      <c r="BQ201" s="4">
        <f t="shared" si="299"/>
        <v>45305</v>
      </c>
      <c r="BR201" s="112">
        <f t="shared" si="300"/>
        <v>0</v>
      </c>
      <c r="BS201" s="112">
        <f t="shared" si="301"/>
        <v>0</v>
      </c>
      <c r="BT201" s="112">
        <f t="shared" si="302"/>
        <v>0</v>
      </c>
      <c r="BU201" s="112">
        <f t="shared" si="303"/>
        <v>0</v>
      </c>
      <c r="BV201" s="112">
        <f t="shared" si="304"/>
        <v>0</v>
      </c>
      <c r="CI201" s="4">
        <f t="shared" si="305"/>
        <v>45305</v>
      </c>
      <c r="CJ201" s="50">
        <f ca="1">IF($BH201=0,IF($CO201="",CJ200+R201,IF('283'!$K$251=1,VLOOKUP($CO201,PerStBal,2)+R201,IF('283'!$K$253=1,(VLOOKUP($CO201,PerPortion,2)*VLOOKUP($CO201,PerStBal,6))+R201,GL!BS201))),0)</f>
        <v>0</v>
      </c>
      <c r="CK201" s="425">
        <f ca="1">IF($BH201=0,IF($CO201="",CK200+T201,IF('283'!$K$251=1,IF(mname2&lt;&gt;"",VLOOKUP($CO201,PerStBal,3)+T201,0),IF('283'!$K$253=1,(VLOOKUP($CO201,PerPortion,3)*VLOOKUP($CO201,PerStBal,6))+T201,GL!BT201))),0)</f>
        <v>0</v>
      </c>
      <c r="CL201" s="425">
        <f ca="1">IF($BH201=0,IF($CO201="",CL200+V201,IF('283'!$K$251=1,IF(mname3&lt;&gt;"",VLOOKUP($CO201,PerStBal,4)+V201,0),IF('283'!$K$253=1,(VLOOKUP($CO201,PerPortion,4)*VLOOKUP($CO201,PerStBal,6))+V201,GL!BU201))),0)</f>
        <v>0</v>
      </c>
      <c r="CM201" s="425">
        <f ca="1">IF($BH201=0,IF($CO201="",CM200+X201,IF('283'!$K$251=1,IF(mname4&lt;&gt;"",VLOOKUP($CO201,PerStBal,5)+X201,0),IF('283'!$K$253=1,(VLOOKUP($CO201,PerPortion,5)*VLOOKUP($CO201,PerStBal,6))+X201,GL!BV201))),0)</f>
        <v>0</v>
      </c>
      <c r="CN201" s="50">
        <f t="shared" ca="1" si="306"/>
        <v>0</v>
      </c>
      <c r="CO201" s="4" t="str">
        <f t="shared" ca="1" si="307"/>
        <v/>
      </c>
      <c r="CP201" s="377">
        <f t="shared" si="268"/>
        <v>0</v>
      </c>
      <c r="DI201" s="4">
        <f t="shared" si="308"/>
        <v>45305</v>
      </c>
      <c r="DJ201" s="112">
        <f t="shared" ca="1" si="309"/>
        <v>0</v>
      </c>
      <c r="DK201" s="112">
        <f t="shared" si="310"/>
        <v>0</v>
      </c>
      <c r="DL201" s="4">
        <f t="shared" si="311"/>
        <v>45305</v>
      </c>
      <c r="DM201" s="112">
        <f t="shared" ca="1" si="312"/>
        <v>0</v>
      </c>
      <c r="DN201" s="112">
        <f t="shared" si="313"/>
        <v>0</v>
      </c>
      <c r="DO201" s="4">
        <f t="shared" si="314"/>
        <v>45305</v>
      </c>
      <c r="DP201" s="112">
        <f t="shared" ca="1" si="315"/>
        <v>0</v>
      </c>
      <c r="DQ201" s="112">
        <f t="shared" si="316"/>
        <v>0</v>
      </c>
      <c r="DR201" s="4">
        <f t="shared" si="317"/>
        <v>45305</v>
      </c>
      <c r="DS201" s="112">
        <f t="shared" ca="1" si="318"/>
        <v>0</v>
      </c>
      <c r="DT201" s="112">
        <f t="shared" si="319"/>
        <v>0</v>
      </c>
      <c r="DU201" s="4">
        <f t="shared" si="320"/>
        <v>45305</v>
      </c>
      <c r="DV201" s="112">
        <f t="shared" si="321"/>
        <v>0</v>
      </c>
      <c r="DW201" s="112">
        <f t="shared" si="322"/>
        <v>0</v>
      </c>
    </row>
    <row r="202" spans="2:127" x14ac:dyDescent="0.25">
      <c r="B202" s="85">
        <f t="shared" si="254"/>
        <v>183</v>
      </c>
      <c r="C202" s="86">
        <f t="shared" ca="1" si="255"/>
        <v>0</v>
      </c>
      <c r="D202" s="86">
        <f t="shared" ca="1" si="255"/>
        <v>0</v>
      </c>
      <c r="E202" s="86">
        <f t="shared" ca="1" si="255"/>
        <v>0</v>
      </c>
      <c r="F202" s="86">
        <f t="shared" ca="1" si="255"/>
        <v>0</v>
      </c>
      <c r="H202" s="87">
        <f t="shared" si="248"/>
        <v>183</v>
      </c>
      <c r="I202" s="88">
        <f t="shared" ca="1" si="256"/>
        <v>0</v>
      </c>
      <c r="J202" s="88">
        <f t="shared" ca="1" si="257"/>
        <v>0</v>
      </c>
      <c r="K202" s="88">
        <f t="shared" ca="1" si="258"/>
        <v>0</v>
      </c>
      <c r="L202" s="88">
        <f t="shared" ca="1" si="259"/>
        <v>0</v>
      </c>
      <c r="M202" s="88">
        <f t="shared" ca="1" si="260"/>
        <v>0</v>
      </c>
      <c r="Q202" s="4">
        <f t="shared" si="269"/>
        <v>45306</v>
      </c>
      <c r="R202" s="24">
        <f t="shared" si="270"/>
        <v>0</v>
      </c>
      <c r="S202" s="25">
        <f t="shared" si="271"/>
        <v>0</v>
      </c>
      <c r="T202" s="24">
        <f t="shared" si="272"/>
        <v>0</v>
      </c>
      <c r="U202" s="25">
        <f t="shared" si="273"/>
        <v>0</v>
      </c>
      <c r="V202" s="24">
        <f t="shared" si="274"/>
        <v>0</v>
      </c>
      <c r="W202" s="25">
        <f t="shared" si="275"/>
        <v>0</v>
      </c>
      <c r="X202" s="24">
        <f t="shared" si="276"/>
        <v>0</v>
      </c>
      <c r="Y202" s="26">
        <f t="shared" si="277"/>
        <v>0</v>
      </c>
      <c r="Z202" s="27">
        <f t="shared" si="278"/>
        <v>0</v>
      </c>
      <c r="AA202" s="28">
        <f t="shared" si="279"/>
        <v>45306</v>
      </c>
      <c r="AB202" s="24">
        <f t="shared" si="280"/>
        <v>0</v>
      </c>
      <c r="AC202" s="25">
        <f t="shared" si="281"/>
        <v>0</v>
      </c>
      <c r="AD202" s="28">
        <f t="shared" si="282"/>
        <v>45306</v>
      </c>
      <c r="AE202" s="24">
        <f t="shared" si="283"/>
        <v>0</v>
      </c>
      <c r="AF202" s="25">
        <f t="shared" si="284"/>
        <v>0</v>
      </c>
      <c r="AG202" s="28">
        <f t="shared" si="285"/>
        <v>45306</v>
      </c>
      <c r="AH202" s="24">
        <f t="shared" si="286"/>
        <v>0</v>
      </c>
      <c r="AI202" s="25">
        <f t="shared" si="287"/>
        <v>0</v>
      </c>
      <c r="AJ202" s="28">
        <f t="shared" si="288"/>
        <v>45306</v>
      </c>
      <c r="AK202" s="24">
        <f t="shared" si="289"/>
        <v>0</v>
      </c>
      <c r="AL202" s="25">
        <f t="shared" si="290"/>
        <v>0</v>
      </c>
      <c r="AM202" s="29">
        <f t="shared" si="291"/>
        <v>0</v>
      </c>
      <c r="AN202" s="28">
        <f t="shared" si="292"/>
        <v>45306</v>
      </c>
      <c r="AO202" s="373">
        <f t="shared" si="261"/>
        <v>0</v>
      </c>
      <c r="AP202" s="374">
        <f t="shared" si="262"/>
        <v>0</v>
      </c>
      <c r="AQ202" s="27">
        <f t="shared" si="263"/>
        <v>0</v>
      </c>
      <c r="AR202" s="25">
        <f t="shared" si="264"/>
        <v>0</v>
      </c>
      <c r="AS202" s="25">
        <f t="shared" si="265"/>
        <v>0</v>
      </c>
      <c r="AT202" s="25">
        <f t="shared" si="266"/>
        <v>0</v>
      </c>
      <c r="AU202" s="29">
        <f t="shared" si="323"/>
        <v>0</v>
      </c>
      <c r="AV202" s="27">
        <f t="shared" si="293"/>
        <v>0</v>
      </c>
      <c r="AW202" s="27">
        <f t="shared" si="294"/>
        <v>0</v>
      </c>
      <c r="AX202" s="27">
        <f t="shared" si="295"/>
        <v>0</v>
      </c>
      <c r="AY202" s="27">
        <f t="shared" si="296"/>
        <v>0</v>
      </c>
      <c r="BH202" s="2">
        <f t="shared" si="297"/>
        <v>0</v>
      </c>
      <c r="BI202" s="298" t="str">
        <f t="shared" si="298"/>
        <v/>
      </c>
      <c r="BJ202" s="298" t="str">
        <f t="shared" si="267"/>
        <v/>
      </c>
      <c r="BQ202" s="4">
        <f t="shared" si="299"/>
        <v>45306</v>
      </c>
      <c r="BR202" s="112">
        <f t="shared" si="300"/>
        <v>0</v>
      </c>
      <c r="BS202" s="112">
        <f t="shared" si="301"/>
        <v>0</v>
      </c>
      <c r="BT202" s="112">
        <f t="shared" si="302"/>
        <v>0</v>
      </c>
      <c r="BU202" s="112">
        <f t="shared" si="303"/>
        <v>0</v>
      </c>
      <c r="BV202" s="112">
        <f t="shared" si="304"/>
        <v>0</v>
      </c>
      <c r="CI202" s="4">
        <f t="shared" si="305"/>
        <v>45306</v>
      </c>
      <c r="CJ202" s="50">
        <f ca="1">IF($BH202=0,IF($CO202="",CJ201+R202,IF('283'!$K$251=1,VLOOKUP($CO202,PerStBal,2)+R202,IF('283'!$K$253=1,(VLOOKUP($CO202,PerPortion,2)*VLOOKUP($CO202,PerStBal,6))+R202,GL!BS202))),0)</f>
        <v>0</v>
      </c>
      <c r="CK202" s="425">
        <f ca="1">IF($BH202=0,IF($CO202="",CK201+T202,IF('283'!$K$251=1,IF(mname2&lt;&gt;"",VLOOKUP($CO202,PerStBal,3)+T202,0),IF('283'!$K$253=1,(VLOOKUP($CO202,PerPortion,3)*VLOOKUP($CO202,PerStBal,6))+T202,GL!BT202))),0)</f>
        <v>0</v>
      </c>
      <c r="CL202" s="425">
        <f ca="1">IF($BH202=0,IF($CO202="",CL201+V202,IF('283'!$K$251=1,IF(mname3&lt;&gt;"",VLOOKUP($CO202,PerStBal,4)+V202,0),IF('283'!$K$253=1,(VLOOKUP($CO202,PerPortion,4)*VLOOKUP($CO202,PerStBal,6))+V202,GL!BU202))),0)</f>
        <v>0</v>
      </c>
      <c r="CM202" s="425">
        <f ca="1">IF($BH202=0,IF($CO202="",CM201+X202,IF('283'!$K$251=1,IF(mname4&lt;&gt;"",VLOOKUP($CO202,PerStBal,5)+X202,0),IF('283'!$K$253=1,(VLOOKUP($CO202,PerPortion,5)*VLOOKUP($CO202,PerStBal,6))+X202,GL!BV202))),0)</f>
        <v>0</v>
      </c>
      <c r="CN202" s="50">
        <f t="shared" ca="1" si="306"/>
        <v>0</v>
      </c>
      <c r="CO202" s="4" t="str">
        <f t="shared" ca="1" si="307"/>
        <v/>
      </c>
      <c r="CP202" s="377">
        <f t="shared" si="268"/>
        <v>0</v>
      </c>
      <c r="DI202" s="4">
        <f t="shared" si="308"/>
        <v>45306</v>
      </c>
      <c r="DJ202" s="112">
        <f t="shared" ca="1" si="309"/>
        <v>0</v>
      </c>
      <c r="DK202" s="112">
        <f t="shared" si="310"/>
        <v>0</v>
      </c>
      <c r="DL202" s="4">
        <f t="shared" si="311"/>
        <v>45306</v>
      </c>
      <c r="DM202" s="112">
        <f t="shared" ca="1" si="312"/>
        <v>0</v>
      </c>
      <c r="DN202" s="112">
        <f t="shared" si="313"/>
        <v>0</v>
      </c>
      <c r="DO202" s="4">
        <f t="shared" si="314"/>
        <v>45306</v>
      </c>
      <c r="DP202" s="112">
        <f t="shared" ca="1" si="315"/>
        <v>0</v>
      </c>
      <c r="DQ202" s="112">
        <f t="shared" si="316"/>
        <v>0</v>
      </c>
      <c r="DR202" s="4">
        <f t="shared" si="317"/>
        <v>45306</v>
      </c>
      <c r="DS202" s="112">
        <f t="shared" ca="1" si="318"/>
        <v>0</v>
      </c>
      <c r="DT202" s="112">
        <f t="shared" si="319"/>
        <v>0</v>
      </c>
      <c r="DU202" s="4">
        <f t="shared" si="320"/>
        <v>45306</v>
      </c>
      <c r="DV202" s="112">
        <f t="shared" si="321"/>
        <v>0</v>
      </c>
      <c r="DW202" s="112">
        <f t="shared" si="322"/>
        <v>0</v>
      </c>
    </row>
    <row r="203" spans="2:127" x14ac:dyDescent="0.25">
      <c r="B203" s="85">
        <f t="shared" si="254"/>
        <v>183</v>
      </c>
      <c r="C203" s="86">
        <f t="shared" ca="1" si="255"/>
        <v>0</v>
      </c>
      <c r="D203" s="86">
        <f t="shared" ca="1" si="255"/>
        <v>0</v>
      </c>
      <c r="E203" s="86">
        <f t="shared" ca="1" si="255"/>
        <v>0</v>
      </c>
      <c r="F203" s="86">
        <f t="shared" ca="1" si="255"/>
        <v>0</v>
      </c>
      <c r="H203" s="87">
        <f t="shared" si="248"/>
        <v>183</v>
      </c>
      <c r="I203" s="88">
        <f t="shared" ca="1" si="256"/>
        <v>0</v>
      </c>
      <c r="J203" s="88">
        <f t="shared" ca="1" si="257"/>
        <v>0</v>
      </c>
      <c r="K203" s="88">
        <f t="shared" ca="1" si="258"/>
        <v>0</v>
      </c>
      <c r="L203" s="88">
        <f t="shared" ca="1" si="259"/>
        <v>0</v>
      </c>
      <c r="M203" s="88">
        <f t="shared" ca="1" si="260"/>
        <v>0</v>
      </c>
      <c r="Q203" s="4">
        <f t="shared" si="269"/>
        <v>45307</v>
      </c>
      <c r="R203" s="24">
        <f t="shared" si="270"/>
        <v>0</v>
      </c>
      <c r="S203" s="25">
        <f t="shared" si="271"/>
        <v>0</v>
      </c>
      <c r="T203" s="24">
        <f t="shared" si="272"/>
        <v>0</v>
      </c>
      <c r="U203" s="25">
        <f t="shared" si="273"/>
        <v>0</v>
      </c>
      <c r="V203" s="24">
        <f t="shared" si="274"/>
        <v>0</v>
      </c>
      <c r="W203" s="25">
        <f t="shared" si="275"/>
        <v>0</v>
      </c>
      <c r="X203" s="24">
        <f t="shared" si="276"/>
        <v>0</v>
      </c>
      <c r="Y203" s="26">
        <f t="shared" si="277"/>
        <v>0</v>
      </c>
      <c r="Z203" s="27">
        <f t="shared" si="278"/>
        <v>0</v>
      </c>
      <c r="AA203" s="28">
        <f t="shared" si="279"/>
        <v>45307</v>
      </c>
      <c r="AB203" s="24">
        <f t="shared" si="280"/>
        <v>0</v>
      </c>
      <c r="AC203" s="25">
        <f t="shared" si="281"/>
        <v>0</v>
      </c>
      <c r="AD203" s="28">
        <f t="shared" si="282"/>
        <v>45307</v>
      </c>
      <c r="AE203" s="24">
        <f t="shared" si="283"/>
        <v>0</v>
      </c>
      <c r="AF203" s="25">
        <f t="shared" si="284"/>
        <v>0</v>
      </c>
      <c r="AG203" s="28">
        <f t="shared" si="285"/>
        <v>45307</v>
      </c>
      <c r="AH203" s="24">
        <f t="shared" si="286"/>
        <v>0</v>
      </c>
      <c r="AI203" s="25">
        <f t="shared" si="287"/>
        <v>0</v>
      </c>
      <c r="AJ203" s="28">
        <f t="shared" si="288"/>
        <v>45307</v>
      </c>
      <c r="AK203" s="24">
        <f t="shared" si="289"/>
        <v>0</v>
      </c>
      <c r="AL203" s="25">
        <f t="shared" si="290"/>
        <v>0</v>
      </c>
      <c r="AM203" s="29">
        <f t="shared" si="291"/>
        <v>0</v>
      </c>
      <c r="AN203" s="28">
        <f t="shared" si="292"/>
        <v>45307</v>
      </c>
      <c r="AO203" s="373">
        <f t="shared" si="261"/>
        <v>0</v>
      </c>
      <c r="AP203" s="374">
        <f t="shared" si="262"/>
        <v>0</v>
      </c>
      <c r="AQ203" s="27">
        <f t="shared" si="263"/>
        <v>0</v>
      </c>
      <c r="AR203" s="25">
        <f t="shared" si="264"/>
        <v>0</v>
      </c>
      <c r="AS203" s="25">
        <f t="shared" si="265"/>
        <v>0</v>
      </c>
      <c r="AT203" s="25">
        <f t="shared" si="266"/>
        <v>0</v>
      </c>
      <c r="AU203" s="29">
        <f t="shared" si="323"/>
        <v>0</v>
      </c>
      <c r="AV203" s="27">
        <f t="shared" si="293"/>
        <v>0</v>
      </c>
      <c r="AW203" s="27">
        <f t="shared" si="294"/>
        <v>0</v>
      </c>
      <c r="AX203" s="27">
        <f t="shared" si="295"/>
        <v>0</v>
      </c>
      <c r="AY203" s="27">
        <f t="shared" si="296"/>
        <v>0</v>
      </c>
      <c r="BH203" s="2">
        <f t="shared" si="297"/>
        <v>0</v>
      </c>
      <c r="BI203" s="298" t="str">
        <f t="shared" si="298"/>
        <v/>
      </c>
      <c r="BJ203" s="298" t="str">
        <f t="shared" si="267"/>
        <v/>
      </c>
      <c r="BQ203" s="4">
        <f t="shared" si="299"/>
        <v>45307</v>
      </c>
      <c r="BR203" s="112">
        <f t="shared" si="300"/>
        <v>0</v>
      </c>
      <c r="BS203" s="112">
        <f t="shared" si="301"/>
        <v>0</v>
      </c>
      <c r="BT203" s="112">
        <f t="shared" si="302"/>
        <v>0</v>
      </c>
      <c r="BU203" s="112">
        <f t="shared" si="303"/>
        <v>0</v>
      </c>
      <c r="BV203" s="112">
        <f t="shared" si="304"/>
        <v>0</v>
      </c>
      <c r="CI203" s="4">
        <f t="shared" si="305"/>
        <v>45307</v>
      </c>
      <c r="CJ203" s="50">
        <f ca="1">IF($BH203=0,IF($CO203="",CJ202+R203,IF('283'!$K$251=1,VLOOKUP($CO203,PerStBal,2)+R203,IF('283'!$K$253=1,(VLOOKUP($CO203,PerPortion,2)*VLOOKUP($CO203,PerStBal,6))+R203,GL!BS203))),0)</f>
        <v>0</v>
      </c>
      <c r="CK203" s="425">
        <f ca="1">IF($BH203=0,IF($CO203="",CK202+T203,IF('283'!$K$251=1,IF(mname2&lt;&gt;"",VLOOKUP($CO203,PerStBal,3)+T203,0),IF('283'!$K$253=1,(VLOOKUP($CO203,PerPortion,3)*VLOOKUP($CO203,PerStBal,6))+T203,GL!BT203))),0)</f>
        <v>0</v>
      </c>
      <c r="CL203" s="425">
        <f ca="1">IF($BH203=0,IF($CO203="",CL202+V203,IF('283'!$K$251=1,IF(mname3&lt;&gt;"",VLOOKUP($CO203,PerStBal,4)+V203,0),IF('283'!$K$253=1,(VLOOKUP($CO203,PerPortion,4)*VLOOKUP($CO203,PerStBal,6))+V203,GL!BU203))),0)</f>
        <v>0</v>
      </c>
      <c r="CM203" s="425">
        <f ca="1">IF($BH203=0,IF($CO203="",CM202+X203,IF('283'!$K$251=1,IF(mname4&lt;&gt;"",VLOOKUP($CO203,PerStBal,5)+X203,0),IF('283'!$K$253=1,(VLOOKUP($CO203,PerPortion,5)*VLOOKUP($CO203,PerStBal,6))+X203,GL!BV203))),0)</f>
        <v>0</v>
      </c>
      <c r="CN203" s="50">
        <f t="shared" ca="1" si="306"/>
        <v>0</v>
      </c>
      <c r="CO203" s="4" t="str">
        <f t="shared" ca="1" si="307"/>
        <v/>
      </c>
      <c r="CP203" s="377">
        <f t="shared" si="268"/>
        <v>0</v>
      </c>
      <c r="DI203" s="4">
        <f t="shared" si="308"/>
        <v>45307</v>
      </c>
      <c r="DJ203" s="112">
        <f t="shared" ca="1" si="309"/>
        <v>0</v>
      </c>
      <c r="DK203" s="112">
        <f t="shared" si="310"/>
        <v>0</v>
      </c>
      <c r="DL203" s="4">
        <f t="shared" si="311"/>
        <v>45307</v>
      </c>
      <c r="DM203" s="112">
        <f t="shared" ca="1" si="312"/>
        <v>0</v>
      </c>
      <c r="DN203" s="112">
        <f t="shared" si="313"/>
        <v>0</v>
      </c>
      <c r="DO203" s="4">
        <f t="shared" si="314"/>
        <v>45307</v>
      </c>
      <c r="DP203" s="112">
        <f t="shared" ca="1" si="315"/>
        <v>0</v>
      </c>
      <c r="DQ203" s="112">
        <f t="shared" si="316"/>
        <v>0</v>
      </c>
      <c r="DR203" s="4">
        <f t="shared" si="317"/>
        <v>45307</v>
      </c>
      <c r="DS203" s="112">
        <f t="shared" ca="1" si="318"/>
        <v>0</v>
      </c>
      <c r="DT203" s="112">
        <f t="shared" si="319"/>
        <v>0</v>
      </c>
      <c r="DU203" s="4">
        <f t="shared" si="320"/>
        <v>45307</v>
      </c>
      <c r="DV203" s="112">
        <f t="shared" si="321"/>
        <v>0</v>
      </c>
      <c r="DW203" s="112">
        <f t="shared" si="322"/>
        <v>0</v>
      </c>
    </row>
    <row r="204" spans="2:127" x14ac:dyDescent="0.25">
      <c r="B204" s="85">
        <f t="shared" si="254"/>
        <v>366</v>
      </c>
      <c r="C204" s="86">
        <f t="shared" si="255"/>
        <v>0</v>
      </c>
      <c r="D204" s="86">
        <f t="shared" si="255"/>
        <v>0</v>
      </c>
      <c r="E204" s="86">
        <f t="shared" si="255"/>
        <v>0</v>
      </c>
      <c r="F204" s="86">
        <f t="shared" si="255"/>
        <v>0</v>
      </c>
      <c r="G204" s="2" t="s">
        <v>126</v>
      </c>
      <c r="H204" s="89">
        <f t="shared" si="248"/>
        <v>366</v>
      </c>
      <c r="I204" s="90">
        <f t="shared" si="256"/>
        <v>0</v>
      </c>
      <c r="J204" s="90">
        <f t="shared" si="257"/>
        <v>0</v>
      </c>
      <c r="K204" s="90">
        <f t="shared" si="258"/>
        <v>0</v>
      </c>
      <c r="L204" s="90">
        <f t="shared" si="259"/>
        <v>0</v>
      </c>
      <c r="M204" s="90">
        <f t="shared" si="260"/>
        <v>0</v>
      </c>
      <c r="Q204" s="4">
        <f t="shared" si="269"/>
        <v>45308</v>
      </c>
      <c r="R204" s="24">
        <f t="shared" si="270"/>
        <v>0</v>
      </c>
      <c r="S204" s="25">
        <f t="shared" si="271"/>
        <v>0</v>
      </c>
      <c r="T204" s="24">
        <f t="shared" si="272"/>
        <v>0</v>
      </c>
      <c r="U204" s="25">
        <f t="shared" si="273"/>
        <v>0</v>
      </c>
      <c r="V204" s="24">
        <f t="shared" si="274"/>
        <v>0</v>
      </c>
      <c r="W204" s="25">
        <f t="shared" si="275"/>
        <v>0</v>
      </c>
      <c r="X204" s="24">
        <f t="shared" si="276"/>
        <v>0</v>
      </c>
      <c r="Y204" s="26">
        <f t="shared" si="277"/>
        <v>0</v>
      </c>
      <c r="Z204" s="27">
        <f t="shared" si="278"/>
        <v>0</v>
      </c>
      <c r="AA204" s="28">
        <f t="shared" si="279"/>
        <v>45308</v>
      </c>
      <c r="AB204" s="24">
        <f t="shared" si="280"/>
        <v>0</v>
      </c>
      <c r="AC204" s="25">
        <f t="shared" si="281"/>
        <v>0</v>
      </c>
      <c r="AD204" s="28">
        <f t="shared" si="282"/>
        <v>45308</v>
      </c>
      <c r="AE204" s="24">
        <f t="shared" si="283"/>
        <v>0</v>
      </c>
      <c r="AF204" s="25">
        <f t="shared" si="284"/>
        <v>0</v>
      </c>
      <c r="AG204" s="28">
        <f t="shared" si="285"/>
        <v>45308</v>
      </c>
      <c r="AH204" s="24">
        <f t="shared" si="286"/>
        <v>0</v>
      </c>
      <c r="AI204" s="25">
        <f t="shared" si="287"/>
        <v>0</v>
      </c>
      <c r="AJ204" s="28">
        <f t="shared" si="288"/>
        <v>45308</v>
      </c>
      <c r="AK204" s="24">
        <f t="shared" si="289"/>
        <v>0</v>
      </c>
      <c r="AL204" s="25">
        <f t="shared" si="290"/>
        <v>0</v>
      </c>
      <c r="AM204" s="29">
        <f t="shared" si="291"/>
        <v>0</v>
      </c>
      <c r="AN204" s="28">
        <f t="shared" si="292"/>
        <v>45308</v>
      </c>
      <c r="AO204" s="373">
        <f t="shared" si="261"/>
        <v>0</v>
      </c>
      <c r="AP204" s="374">
        <f t="shared" si="262"/>
        <v>0</v>
      </c>
      <c r="AQ204" s="27">
        <f t="shared" si="263"/>
        <v>0</v>
      </c>
      <c r="AR204" s="25">
        <f t="shared" si="264"/>
        <v>0</v>
      </c>
      <c r="AS204" s="25">
        <f t="shared" si="265"/>
        <v>0</v>
      </c>
      <c r="AT204" s="25">
        <f t="shared" si="266"/>
        <v>0</v>
      </c>
      <c r="AU204" s="29">
        <f t="shared" si="323"/>
        <v>0</v>
      </c>
      <c r="AV204" s="27">
        <f t="shared" si="293"/>
        <v>0</v>
      </c>
      <c r="AW204" s="27">
        <f t="shared" si="294"/>
        <v>0</v>
      </c>
      <c r="AX204" s="27">
        <f t="shared" si="295"/>
        <v>0</v>
      </c>
      <c r="AY204" s="27">
        <f t="shared" si="296"/>
        <v>0</v>
      </c>
      <c r="BH204" s="2">
        <f t="shared" si="297"/>
        <v>0</v>
      </c>
      <c r="BI204" s="298" t="str">
        <f t="shared" si="298"/>
        <v/>
      </c>
      <c r="BJ204" s="298" t="str">
        <f t="shared" si="267"/>
        <v/>
      </c>
      <c r="BQ204" s="4">
        <f t="shared" si="299"/>
        <v>45308</v>
      </c>
      <c r="BR204" s="112">
        <f t="shared" si="300"/>
        <v>0</v>
      </c>
      <c r="BS204" s="112">
        <f t="shared" si="301"/>
        <v>0</v>
      </c>
      <c r="BT204" s="112">
        <f t="shared" si="302"/>
        <v>0</v>
      </c>
      <c r="BU204" s="112">
        <f t="shared" si="303"/>
        <v>0</v>
      </c>
      <c r="BV204" s="112">
        <f t="shared" si="304"/>
        <v>0</v>
      </c>
      <c r="CI204" s="4">
        <f t="shared" si="305"/>
        <v>45308</v>
      </c>
      <c r="CJ204" s="50">
        <f ca="1">IF($BH204=0,IF($CO204="",CJ203+R204,IF('283'!$K$251=1,VLOOKUP($CO204,PerStBal,2)+R204,IF('283'!$K$253=1,(VLOOKUP($CO204,PerPortion,2)*VLOOKUP($CO204,PerStBal,6))+R204,GL!BS204))),0)</f>
        <v>0</v>
      </c>
      <c r="CK204" s="425">
        <f ca="1">IF($BH204=0,IF($CO204="",CK203+T204,IF('283'!$K$251=1,IF(mname2&lt;&gt;"",VLOOKUP($CO204,PerStBal,3)+T204,0),IF('283'!$K$253=1,(VLOOKUP($CO204,PerPortion,3)*VLOOKUP($CO204,PerStBal,6))+T204,GL!BT204))),0)</f>
        <v>0</v>
      </c>
      <c r="CL204" s="425">
        <f ca="1">IF($BH204=0,IF($CO204="",CL203+V204,IF('283'!$K$251=1,IF(mname3&lt;&gt;"",VLOOKUP($CO204,PerStBal,4)+V204,0),IF('283'!$K$253=1,(VLOOKUP($CO204,PerPortion,4)*VLOOKUP($CO204,PerStBal,6))+V204,GL!BU204))),0)</f>
        <v>0</v>
      </c>
      <c r="CM204" s="425">
        <f ca="1">IF($BH204=0,IF($CO204="",CM203+X204,IF('283'!$K$251=1,IF(mname4&lt;&gt;"",VLOOKUP($CO204,PerStBal,5)+X204,0),IF('283'!$K$253=1,(VLOOKUP($CO204,PerPortion,5)*VLOOKUP($CO204,PerStBal,6))+X204,GL!BV204))),0)</f>
        <v>0</v>
      </c>
      <c r="CN204" s="50">
        <f t="shared" ca="1" si="306"/>
        <v>0</v>
      </c>
      <c r="CO204" s="4" t="str">
        <f t="shared" ca="1" si="307"/>
        <v/>
      </c>
      <c r="CP204" s="377">
        <f t="shared" si="268"/>
        <v>0</v>
      </c>
      <c r="DI204" s="4">
        <f t="shared" si="308"/>
        <v>45308</v>
      </c>
      <c r="DJ204" s="112">
        <f t="shared" ca="1" si="309"/>
        <v>0</v>
      </c>
      <c r="DK204" s="112">
        <f t="shared" si="310"/>
        <v>0</v>
      </c>
      <c r="DL204" s="4">
        <f t="shared" si="311"/>
        <v>45308</v>
      </c>
      <c r="DM204" s="112">
        <f t="shared" ca="1" si="312"/>
        <v>0</v>
      </c>
      <c r="DN204" s="112">
        <f t="shared" si="313"/>
        <v>0</v>
      </c>
      <c r="DO204" s="4">
        <f t="shared" si="314"/>
        <v>45308</v>
      </c>
      <c r="DP204" s="112">
        <f t="shared" ca="1" si="315"/>
        <v>0</v>
      </c>
      <c r="DQ204" s="112">
        <f t="shared" si="316"/>
        <v>0</v>
      </c>
      <c r="DR204" s="4">
        <f t="shared" si="317"/>
        <v>45308</v>
      </c>
      <c r="DS204" s="112">
        <f t="shared" ca="1" si="318"/>
        <v>0</v>
      </c>
      <c r="DT204" s="112">
        <f t="shared" si="319"/>
        <v>0</v>
      </c>
      <c r="DU204" s="4">
        <f t="shared" si="320"/>
        <v>45308</v>
      </c>
      <c r="DV204" s="112">
        <f t="shared" si="321"/>
        <v>0</v>
      </c>
      <c r="DW204" s="112">
        <f t="shared" si="322"/>
        <v>0</v>
      </c>
    </row>
    <row r="205" spans="2:127" x14ac:dyDescent="0.25">
      <c r="B205" s="91"/>
      <c r="C205" s="92"/>
      <c r="D205" s="92"/>
      <c r="E205" s="92"/>
      <c r="F205" s="92"/>
      <c r="G205" s="2" t="s">
        <v>87</v>
      </c>
      <c r="H205" s="93"/>
      <c r="I205" s="94"/>
      <c r="J205" s="94"/>
      <c r="K205" s="94"/>
      <c r="L205" s="94"/>
      <c r="M205" s="94"/>
      <c r="Q205" s="4">
        <f t="shared" si="269"/>
        <v>45309</v>
      </c>
      <c r="R205" s="24">
        <f t="shared" si="270"/>
        <v>0</v>
      </c>
      <c r="S205" s="25">
        <f t="shared" si="271"/>
        <v>0</v>
      </c>
      <c r="T205" s="24">
        <f t="shared" si="272"/>
        <v>0</v>
      </c>
      <c r="U205" s="25">
        <f t="shared" si="273"/>
        <v>0</v>
      </c>
      <c r="V205" s="24">
        <f t="shared" si="274"/>
        <v>0</v>
      </c>
      <c r="W205" s="25">
        <f t="shared" si="275"/>
        <v>0</v>
      </c>
      <c r="X205" s="24">
        <f t="shared" si="276"/>
        <v>0</v>
      </c>
      <c r="Y205" s="26">
        <f t="shared" si="277"/>
        <v>0</v>
      </c>
      <c r="Z205" s="27">
        <f t="shared" si="278"/>
        <v>0</v>
      </c>
      <c r="AA205" s="28">
        <f t="shared" si="279"/>
        <v>45309</v>
      </c>
      <c r="AB205" s="24">
        <f t="shared" si="280"/>
        <v>0</v>
      </c>
      <c r="AC205" s="25">
        <f t="shared" si="281"/>
        <v>0</v>
      </c>
      <c r="AD205" s="28">
        <f t="shared" si="282"/>
        <v>45309</v>
      </c>
      <c r="AE205" s="24">
        <f t="shared" si="283"/>
        <v>0</v>
      </c>
      <c r="AF205" s="25">
        <f t="shared" si="284"/>
        <v>0</v>
      </c>
      <c r="AG205" s="28">
        <f t="shared" si="285"/>
        <v>45309</v>
      </c>
      <c r="AH205" s="24">
        <f t="shared" si="286"/>
        <v>0</v>
      </c>
      <c r="AI205" s="25">
        <f t="shared" si="287"/>
        <v>0</v>
      </c>
      <c r="AJ205" s="28">
        <f t="shared" si="288"/>
        <v>45309</v>
      </c>
      <c r="AK205" s="24">
        <f t="shared" si="289"/>
        <v>0</v>
      </c>
      <c r="AL205" s="25">
        <f t="shared" si="290"/>
        <v>0</v>
      </c>
      <c r="AM205" s="29">
        <f t="shared" si="291"/>
        <v>0</v>
      </c>
      <c r="AN205" s="28">
        <f t="shared" si="292"/>
        <v>45309</v>
      </c>
      <c r="AO205" s="373">
        <f t="shared" si="261"/>
        <v>0</v>
      </c>
      <c r="AP205" s="374">
        <f t="shared" si="262"/>
        <v>0</v>
      </c>
      <c r="AQ205" s="27">
        <f t="shared" si="263"/>
        <v>0</v>
      </c>
      <c r="AR205" s="25">
        <f t="shared" si="264"/>
        <v>0</v>
      </c>
      <c r="AS205" s="25">
        <f t="shared" si="265"/>
        <v>0</v>
      </c>
      <c r="AT205" s="25">
        <f t="shared" si="266"/>
        <v>0</v>
      </c>
      <c r="AU205" s="29">
        <f t="shared" si="323"/>
        <v>0</v>
      </c>
      <c r="AV205" s="27">
        <f t="shared" si="293"/>
        <v>0</v>
      </c>
      <c r="AW205" s="27">
        <f t="shared" si="294"/>
        <v>0</v>
      </c>
      <c r="AX205" s="27">
        <f t="shared" si="295"/>
        <v>0</v>
      </c>
      <c r="AY205" s="27">
        <f t="shared" si="296"/>
        <v>0</v>
      </c>
      <c r="BH205" s="2">
        <f t="shared" si="297"/>
        <v>0</v>
      </c>
      <c r="BI205" s="298" t="str">
        <f t="shared" si="298"/>
        <v/>
      </c>
      <c r="BJ205" s="298" t="str">
        <f t="shared" si="267"/>
        <v/>
      </c>
      <c r="BQ205" s="4">
        <f t="shared" si="299"/>
        <v>45309</v>
      </c>
      <c r="BR205" s="112">
        <f t="shared" si="300"/>
        <v>0</v>
      </c>
      <c r="BS205" s="112">
        <f t="shared" si="301"/>
        <v>0</v>
      </c>
      <c r="BT205" s="112">
        <f t="shared" si="302"/>
        <v>0</v>
      </c>
      <c r="BU205" s="112">
        <f t="shared" si="303"/>
        <v>0</v>
      </c>
      <c r="BV205" s="112">
        <f t="shared" si="304"/>
        <v>0</v>
      </c>
      <c r="CI205" s="4">
        <f t="shared" si="305"/>
        <v>45309</v>
      </c>
      <c r="CJ205" s="50">
        <f ca="1">IF($BH205=0,IF($CO205="",CJ204+R205,IF('283'!$K$251=1,VLOOKUP($CO205,PerStBal,2)+R205,IF('283'!$K$253=1,(VLOOKUP($CO205,PerPortion,2)*VLOOKUP($CO205,PerStBal,6))+R205,GL!BS205))),0)</f>
        <v>0</v>
      </c>
      <c r="CK205" s="425">
        <f ca="1">IF($BH205=0,IF($CO205="",CK204+T205,IF('283'!$K$251=1,IF(mname2&lt;&gt;"",VLOOKUP($CO205,PerStBal,3)+T205,0),IF('283'!$K$253=1,(VLOOKUP($CO205,PerPortion,3)*VLOOKUP($CO205,PerStBal,6))+T205,GL!BT205))),0)</f>
        <v>0</v>
      </c>
      <c r="CL205" s="425">
        <f ca="1">IF($BH205=0,IF($CO205="",CL204+V205,IF('283'!$K$251=1,IF(mname3&lt;&gt;"",VLOOKUP($CO205,PerStBal,4)+V205,0),IF('283'!$K$253=1,(VLOOKUP($CO205,PerPortion,4)*VLOOKUP($CO205,PerStBal,6))+V205,GL!BU205))),0)</f>
        <v>0</v>
      </c>
      <c r="CM205" s="425">
        <f ca="1">IF($BH205=0,IF($CO205="",CM204+X205,IF('283'!$K$251=1,IF(mname4&lt;&gt;"",VLOOKUP($CO205,PerStBal,5)+X205,0),IF('283'!$K$253=1,(VLOOKUP($CO205,PerPortion,5)*VLOOKUP($CO205,PerStBal,6))+X205,GL!BV205))),0)</f>
        <v>0</v>
      </c>
      <c r="CN205" s="50">
        <f t="shared" ca="1" si="306"/>
        <v>0</v>
      </c>
      <c r="CO205" s="4" t="str">
        <f t="shared" ca="1" si="307"/>
        <v/>
      </c>
      <c r="CP205" s="377">
        <f t="shared" si="268"/>
        <v>0</v>
      </c>
      <c r="DI205" s="4">
        <f t="shared" si="308"/>
        <v>45309</v>
      </c>
      <c r="DJ205" s="112">
        <f t="shared" ca="1" si="309"/>
        <v>0</v>
      </c>
      <c r="DK205" s="112">
        <f t="shared" si="310"/>
        <v>0</v>
      </c>
      <c r="DL205" s="4">
        <f t="shared" si="311"/>
        <v>45309</v>
      </c>
      <c r="DM205" s="112">
        <f t="shared" ca="1" si="312"/>
        <v>0</v>
      </c>
      <c r="DN205" s="112">
        <f t="shared" si="313"/>
        <v>0</v>
      </c>
      <c r="DO205" s="4">
        <f t="shared" si="314"/>
        <v>45309</v>
      </c>
      <c r="DP205" s="112">
        <f t="shared" ca="1" si="315"/>
        <v>0</v>
      </c>
      <c r="DQ205" s="112">
        <f t="shared" si="316"/>
        <v>0</v>
      </c>
      <c r="DR205" s="4">
        <f t="shared" si="317"/>
        <v>45309</v>
      </c>
      <c r="DS205" s="112">
        <f t="shared" ca="1" si="318"/>
        <v>0</v>
      </c>
      <c r="DT205" s="112">
        <f t="shared" si="319"/>
        <v>0</v>
      </c>
      <c r="DU205" s="4">
        <f t="shared" si="320"/>
        <v>45309</v>
      </c>
      <c r="DV205" s="112">
        <f t="shared" si="321"/>
        <v>0</v>
      </c>
      <c r="DW205" s="112">
        <f t="shared" si="322"/>
        <v>0</v>
      </c>
    </row>
    <row r="206" spans="2:127" x14ac:dyDescent="0.25">
      <c r="B206" s="91"/>
      <c r="C206" s="92"/>
      <c r="D206" s="92"/>
      <c r="E206" s="92"/>
      <c r="F206" s="92"/>
      <c r="H206" s="93"/>
      <c r="I206" s="94"/>
      <c r="J206" s="94"/>
      <c r="K206" s="94"/>
      <c r="L206" s="94"/>
      <c r="M206" s="94"/>
      <c r="Q206" s="4">
        <f t="shared" si="269"/>
        <v>45310</v>
      </c>
      <c r="R206" s="24">
        <f t="shared" si="270"/>
        <v>0</v>
      </c>
      <c r="S206" s="25">
        <f t="shared" si="271"/>
        <v>0</v>
      </c>
      <c r="T206" s="24">
        <f t="shared" si="272"/>
        <v>0</v>
      </c>
      <c r="U206" s="25">
        <f t="shared" si="273"/>
        <v>0</v>
      </c>
      <c r="V206" s="24">
        <f t="shared" si="274"/>
        <v>0</v>
      </c>
      <c r="W206" s="25">
        <f t="shared" si="275"/>
        <v>0</v>
      </c>
      <c r="X206" s="24">
        <f t="shared" si="276"/>
        <v>0</v>
      </c>
      <c r="Y206" s="26">
        <f t="shared" si="277"/>
        <v>0</v>
      </c>
      <c r="Z206" s="27">
        <f t="shared" si="278"/>
        <v>0</v>
      </c>
      <c r="AA206" s="28">
        <f t="shared" si="279"/>
        <v>45310</v>
      </c>
      <c r="AB206" s="24">
        <f t="shared" si="280"/>
        <v>0</v>
      </c>
      <c r="AC206" s="25">
        <f t="shared" si="281"/>
        <v>0</v>
      </c>
      <c r="AD206" s="28">
        <f t="shared" si="282"/>
        <v>45310</v>
      </c>
      <c r="AE206" s="24">
        <f t="shared" si="283"/>
        <v>0</v>
      </c>
      <c r="AF206" s="25">
        <f t="shared" si="284"/>
        <v>0</v>
      </c>
      <c r="AG206" s="28">
        <f t="shared" si="285"/>
        <v>45310</v>
      </c>
      <c r="AH206" s="24">
        <f t="shared" si="286"/>
        <v>0</v>
      </c>
      <c r="AI206" s="25">
        <f t="shared" si="287"/>
        <v>0</v>
      </c>
      <c r="AJ206" s="28">
        <f t="shared" si="288"/>
        <v>45310</v>
      </c>
      <c r="AK206" s="24">
        <f t="shared" si="289"/>
        <v>0</v>
      </c>
      <c r="AL206" s="25">
        <f t="shared" si="290"/>
        <v>0</v>
      </c>
      <c r="AM206" s="29">
        <f t="shared" si="291"/>
        <v>0</v>
      </c>
      <c r="AN206" s="28">
        <f t="shared" si="292"/>
        <v>45310</v>
      </c>
      <c r="AO206" s="373">
        <f t="shared" si="261"/>
        <v>0</v>
      </c>
      <c r="AP206" s="374">
        <f t="shared" si="262"/>
        <v>0</v>
      </c>
      <c r="AQ206" s="27">
        <f t="shared" si="263"/>
        <v>0</v>
      </c>
      <c r="AR206" s="25">
        <f t="shared" si="264"/>
        <v>0</v>
      </c>
      <c r="AS206" s="25">
        <f t="shared" si="265"/>
        <v>0</v>
      </c>
      <c r="AT206" s="25">
        <f t="shared" si="266"/>
        <v>0</v>
      </c>
      <c r="AU206" s="29">
        <f t="shared" si="323"/>
        <v>0</v>
      </c>
      <c r="AV206" s="27">
        <f t="shared" si="293"/>
        <v>0</v>
      </c>
      <c r="AW206" s="27">
        <f t="shared" si="294"/>
        <v>0</v>
      </c>
      <c r="AX206" s="27">
        <f t="shared" si="295"/>
        <v>0</v>
      </c>
      <c r="AY206" s="27">
        <f t="shared" si="296"/>
        <v>0</v>
      </c>
      <c r="BH206" s="2">
        <f t="shared" si="297"/>
        <v>0</v>
      </c>
      <c r="BI206" s="298" t="str">
        <f t="shared" si="298"/>
        <v/>
      </c>
      <c r="BJ206" s="298" t="str">
        <f t="shared" si="267"/>
        <v/>
      </c>
      <c r="BQ206" s="4">
        <f t="shared" si="299"/>
        <v>45310</v>
      </c>
      <c r="BR206" s="112">
        <f t="shared" si="300"/>
        <v>0</v>
      </c>
      <c r="BS206" s="112">
        <f t="shared" si="301"/>
        <v>0</v>
      </c>
      <c r="BT206" s="112">
        <f t="shared" si="302"/>
        <v>0</v>
      </c>
      <c r="BU206" s="112">
        <f t="shared" si="303"/>
        <v>0</v>
      </c>
      <c r="BV206" s="112">
        <f t="shared" si="304"/>
        <v>0</v>
      </c>
      <c r="CI206" s="4">
        <f t="shared" si="305"/>
        <v>45310</v>
      </c>
      <c r="CJ206" s="50">
        <f ca="1">IF($BH206=0,IF($CO206="",CJ205+R206,IF('283'!$K$251=1,VLOOKUP($CO206,PerStBal,2)+R206,IF('283'!$K$253=1,(VLOOKUP($CO206,PerPortion,2)*VLOOKUP($CO206,PerStBal,6))+R206,GL!BS206))),0)</f>
        <v>0</v>
      </c>
      <c r="CK206" s="425">
        <f ca="1">IF($BH206=0,IF($CO206="",CK205+T206,IF('283'!$K$251=1,IF(mname2&lt;&gt;"",VLOOKUP($CO206,PerStBal,3)+T206,0),IF('283'!$K$253=1,(VLOOKUP($CO206,PerPortion,3)*VLOOKUP($CO206,PerStBal,6))+T206,GL!BT206))),0)</f>
        <v>0</v>
      </c>
      <c r="CL206" s="425">
        <f ca="1">IF($BH206=0,IF($CO206="",CL205+V206,IF('283'!$K$251=1,IF(mname3&lt;&gt;"",VLOOKUP($CO206,PerStBal,4)+V206,0),IF('283'!$K$253=1,(VLOOKUP($CO206,PerPortion,4)*VLOOKUP($CO206,PerStBal,6))+V206,GL!BU206))),0)</f>
        <v>0</v>
      </c>
      <c r="CM206" s="425">
        <f ca="1">IF($BH206=0,IF($CO206="",CM205+X206,IF('283'!$K$251=1,IF(mname4&lt;&gt;"",VLOOKUP($CO206,PerStBal,5)+X206,0),IF('283'!$K$253=1,(VLOOKUP($CO206,PerPortion,5)*VLOOKUP($CO206,PerStBal,6))+X206,GL!BV206))),0)</f>
        <v>0</v>
      </c>
      <c r="CN206" s="50">
        <f t="shared" ca="1" si="306"/>
        <v>0</v>
      </c>
      <c r="CO206" s="4" t="str">
        <f t="shared" ca="1" si="307"/>
        <v/>
      </c>
      <c r="CP206" s="377">
        <f t="shared" si="268"/>
        <v>0</v>
      </c>
      <c r="DI206" s="4">
        <f t="shared" si="308"/>
        <v>45310</v>
      </c>
      <c r="DJ206" s="112">
        <f t="shared" ca="1" si="309"/>
        <v>0</v>
      </c>
      <c r="DK206" s="112">
        <f t="shared" si="310"/>
        <v>0</v>
      </c>
      <c r="DL206" s="4">
        <f t="shared" si="311"/>
        <v>45310</v>
      </c>
      <c r="DM206" s="112">
        <f t="shared" ca="1" si="312"/>
        <v>0</v>
      </c>
      <c r="DN206" s="112">
        <f t="shared" si="313"/>
        <v>0</v>
      </c>
      <c r="DO206" s="4">
        <f t="shared" si="314"/>
        <v>45310</v>
      </c>
      <c r="DP206" s="112">
        <f t="shared" ca="1" si="315"/>
        <v>0</v>
      </c>
      <c r="DQ206" s="112">
        <f t="shared" si="316"/>
        <v>0</v>
      </c>
      <c r="DR206" s="4">
        <f t="shared" si="317"/>
        <v>45310</v>
      </c>
      <c r="DS206" s="112">
        <f t="shared" ca="1" si="318"/>
        <v>0</v>
      </c>
      <c r="DT206" s="112">
        <f t="shared" si="319"/>
        <v>0</v>
      </c>
      <c r="DU206" s="4">
        <f t="shared" si="320"/>
        <v>45310</v>
      </c>
      <c r="DV206" s="112">
        <f t="shared" si="321"/>
        <v>0</v>
      </c>
      <c r="DW206" s="112">
        <f t="shared" si="322"/>
        <v>0</v>
      </c>
    </row>
    <row r="207" spans="2:127" x14ac:dyDescent="0.25">
      <c r="B207" s="91"/>
      <c r="C207" s="92"/>
      <c r="D207" s="92"/>
      <c r="E207" s="92"/>
      <c r="F207" s="92"/>
      <c r="H207" s="93"/>
      <c r="I207" s="94"/>
      <c r="J207" s="94"/>
      <c r="K207" s="94"/>
      <c r="L207" s="94"/>
      <c r="M207" s="94"/>
      <c r="Q207" s="4">
        <f t="shared" si="269"/>
        <v>45311</v>
      </c>
      <c r="R207" s="24">
        <f t="shared" si="270"/>
        <v>0</v>
      </c>
      <c r="S207" s="25">
        <f t="shared" si="271"/>
        <v>0</v>
      </c>
      <c r="T207" s="24">
        <f t="shared" si="272"/>
        <v>0</v>
      </c>
      <c r="U207" s="25">
        <f t="shared" si="273"/>
        <v>0</v>
      </c>
      <c r="V207" s="24">
        <f t="shared" si="274"/>
        <v>0</v>
      </c>
      <c r="W207" s="25">
        <f t="shared" si="275"/>
        <v>0</v>
      </c>
      <c r="X207" s="24">
        <f t="shared" si="276"/>
        <v>0</v>
      </c>
      <c r="Y207" s="26">
        <f t="shared" si="277"/>
        <v>0</v>
      </c>
      <c r="Z207" s="27">
        <f t="shared" si="278"/>
        <v>0</v>
      </c>
      <c r="AA207" s="28">
        <f t="shared" si="279"/>
        <v>45311</v>
      </c>
      <c r="AB207" s="24">
        <f t="shared" si="280"/>
        <v>0</v>
      </c>
      <c r="AC207" s="25">
        <f t="shared" si="281"/>
        <v>0</v>
      </c>
      <c r="AD207" s="28">
        <f t="shared" si="282"/>
        <v>45311</v>
      </c>
      <c r="AE207" s="24">
        <f t="shared" si="283"/>
        <v>0</v>
      </c>
      <c r="AF207" s="25">
        <f t="shared" si="284"/>
        <v>0</v>
      </c>
      <c r="AG207" s="28">
        <f t="shared" si="285"/>
        <v>45311</v>
      </c>
      <c r="AH207" s="24">
        <f t="shared" si="286"/>
        <v>0</v>
      </c>
      <c r="AI207" s="25">
        <f t="shared" si="287"/>
        <v>0</v>
      </c>
      <c r="AJ207" s="28">
        <f t="shared" si="288"/>
        <v>45311</v>
      </c>
      <c r="AK207" s="24">
        <f t="shared" si="289"/>
        <v>0</v>
      </c>
      <c r="AL207" s="25">
        <f t="shared" si="290"/>
        <v>0</v>
      </c>
      <c r="AM207" s="29">
        <f t="shared" si="291"/>
        <v>0</v>
      </c>
      <c r="AN207" s="28">
        <f t="shared" si="292"/>
        <v>45311</v>
      </c>
      <c r="AO207" s="373">
        <f t="shared" si="261"/>
        <v>0</v>
      </c>
      <c r="AP207" s="374">
        <f t="shared" si="262"/>
        <v>0</v>
      </c>
      <c r="AQ207" s="27">
        <f t="shared" si="263"/>
        <v>0</v>
      </c>
      <c r="AR207" s="25">
        <f t="shared" si="264"/>
        <v>0</v>
      </c>
      <c r="AS207" s="25">
        <f t="shared" si="265"/>
        <v>0</v>
      </c>
      <c r="AT207" s="25">
        <f t="shared" si="266"/>
        <v>0</v>
      </c>
      <c r="AU207" s="29">
        <f t="shared" si="323"/>
        <v>0</v>
      </c>
      <c r="AV207" s="27">
        <f t="shared" si="293"/>
        <v>0</v>
      </c>
      <c r="AW207" s="27">
        <f t="shared" si="294"/>
        <v>0</v>
      </c>
      <c r="AX207" s="27">
        <f t="shared" si="295"/>
        <v>0</v>
      </c>
      <c r="AY207" s="27">
        <f t="shared" si="296"/>
        <v>0</v>
      </c>
      <c r="BH207" s="2">
        <f t="shared" si="297"/>
        <v>0</v>
      </c>
      <c r="BI207" s="298" t="str">
        <f t="shared" si="298"/>
        <v/>
      </c>
      <c r="BJ207" s="298" t="str">
        <f t="shared" si="267"/>
        <v/>
      </c>
      <c r="BQ207" s="4">
        <f t="shared" si="299"/>
        <v>45311</v>
      </c>
      <c r="BR207" s="112">
        <f t="shared" si="300"/>
        <v>0</v>
      </c>
      <c r="BS207" s="112">
        <f t="shared" si="301"/>
        <v>0</v>
      </c>
      <c r="BT207" s="112">
        <f t="shared" si="302"/>
        <v>0</v>
      </c>
      <c r="BU207" s="112">
        <f t="shared" si="303"/>
        <v>0</v>
      </c>
      <c r="BV207" s="112">
        <f t="shared" si="304"/>
        <v>0</v>
      </c>
      <c r="CI207" s="4">
        <f t="shared" si="305"/>
        <v>45311</v>
      </c>
      <c r="CJ207" s="50">
        <f ca="1">IF($BH207=0,IF($CO207="",CJ206+R207,IF('283'!$K$251=1,VLOOKUP($CO207,PerStBal,2)+R207,IF('283'!$K$253=1,(VLOOKUP($CO207,PerPortion,2)*VLOOKUP($CO207,PerStBal,6))+R207,GL!BS207))),0)</f>
        <v>0</v>
      </c>
      <c r="CK207" s="425">
        <f ca="1">IF($BH207=0,IF($CO207="",CK206+T207,IF('283'!$K$251=1,IF(mname2&lt;&gt;"",VLOOKUP($CO207,PerStBal,3)+T207,0),IF('283'!$K$253=1,(VLOOKUP($CO207,PerPortion,3)*VLOOKUP($CO207,PerStBal,6))+T207,GL!BT207))),0)</f>
        <v>0</v>
      </c>
      <c r="CL207" s="425">
        <f ca="1">IF($BH207=0,IF($CO207="",CL206+V207,IF('283'!$K$251=1,IF(mname3&lt;&gt;"",VLOOKUP($CO207,PerStBal,4)+V207,0),IF('283'!$K$253=1,(VLOOKUP($CO207,PerPortion,4)*VLOOKUP($CO207,PerStBal,6))+V207,GL!BU207))),0)</f>
        <v>0</v>
      </c>
      <c r="CM207" s="425">
        <f ca="1">IF($BH207=0,IF($CO207="",CM206+X207,IF('283'!$K$251=1,IF(mname4&lt;&gt;"",VLOOKUP($CO207,PerStBal,5)+X207,0),IF('283'!$K$253=1,(VLOOKUP($CO207,PerPortion,5)*VLOOKUP($CO207,PerStBal,6))+X207,GL!BV207))),0)</f>
        <v>0</v>
      </c>
      <c r="CN207" s="50">
        <f t="shared" ca="1" si="306"/>
        <v>0</v>
      </c>
      <c r="CO207" s="4" t="str">
        <f t="shared" ca="1" si="307"/>
        <v/>
      </c>
      <c r="CP207" s="377">
        <f t="shared" si="268"/>
        <v>0</v>
      </c>
      <c r="DI207" s="4">
        <f t="shared" si="308"/>
        <v>45311</v>
      </c>
      <c r="DJ207" s="112">
        <f t="shared" ca="1" si="309"/>
        <v>0</v>
      </c>
      <c r="DK207" s="112">
        <f t="shared" si="310"/>
        <v>0</v>
      </c>
      <c r="DL207" s="4">
        <f t="shared" si="311"/>
        <v>45311</v>
      </c>
      <c r="DM207" s="112">
        <f t="shared" ca="1" si="312"/>
        <v>0</v>
      </c>
      <c r="DN207" s="112">
        <f t="shared" si="313"/>
        <v>0</v>
      </c>
      <c r="DO207" s="4">
        <f t="shared" si="314"/>
        <v>45311</v>
      </c>
      <c r="DP207" s="112">
        <f t="shared" ca="1" si="315"/>
        <v>0</v>
      </c>
      <c r="DQ207" s="112">
        <f t="shared" si="316"/>
        <v>0</v>
      </c>
      <c r="DR207" s="4">
        <f t="shared" si="317"/>
        <v>45311</v>
      </c>
      <c r="DS207" s="112">
        <f t="shared" ca="1" si="318"/>
        <v>0</v>
      </c>
      <c r="DT207" s="112">
        <f t="shared" si="319"/>
        <v>0</v>
      </c>
      <c r="DU207" s="4">
        <f t="shared" si="320"/>
        <v>45311</v>
      </c>
      <c r="DV207" s="112">
        <f t="shared" si="321"/>
        <v>0</v>
      </c>
      <c r="DW207" s="112">
        <f t="shared" si="322"/>
        <v>0</v>
      </c>
    </row>
    <row r="208" spans="2:127" x14ac:dyDescent="0.25">
      <c r="B208" s="74">
        <f>DaysInYear/2</f>
        <v>183</v>
      </c>
      <c r="C208" s="84">
        <f>-D100*(YearEnd-D103)/DaysInYear</f>
        <v>0</v>
      </c>
      <c r="D208" s="84">
        <f>-E100*(YearEnd-E103)/DaysInYear</f>
        <v>0</v>
      </c>
      <c r="E208" s="84">
        <f>-F100*(YearEnd-F103)/DaysInYear</f>
        <v>0</v>
      </c>
      <c r="F208" s="84">
        <f>-G100*(YearEnd-G103)/DaysInYear</f>
        <v>0</v>
      </c>
      <c r="G208" s="2" t="s">
        <v>49</v>
      </c>
      <c r="H208" s="93"/>
      <c r="I208" s="94"/>
      <c r="J208" s="94"/>
      <c r="K208" s="94"/>
      <c r="L208" s="94"/>
      <c r="M208" s="94"/>
      <c r="Q208" s="4">
        <f t="shared" si="269"/>
        <v>45312</v>
      </c>
      <c r="R208" s="24">
        <f t="shared" si="270"/>
        <v>0</v>
      </c>
      <c r="S208" s="25">
        <f t="shared" si="271"/>
        <v>0</v>
      </c>
      <c r="T208" s="24">
        <f t="shared" si="272"/>
        <v>0</v>
      </c>
      <c r="U208" s="25">
        <f t="shared" si="273"/>
        <v>0</v>
      </c>
      <c r="V208" s="24">
        <f t="shared" si="274"/>
        <v>0</v>
      </c>
      <c r="W208" s="25">
        <f t="shared" si="275"/>
        <v>0</v>
      </c>
      <c r="X208" s="24">
        <f t="shared" si="276"/>
        <v>0</v>
      </c>
      <c r="Y208" s="26">
        <f t="shared" si="277"/>
        <v>0</v>
      </c>
      <c r="Z208" s="27">
        <f t="shared" si="278"/>
        <v>0</v>
      </c>
      <c r="AA208" s="28">
        <f t="shared" si="279"/>
        <v>45312</v>
      </c>
      <c r="AB208" s="24">
        <f t="shared" si="280"/>
        <v>0</v>
      </c>
      <c r="AC208" s="25">
        <f t="shared" si="281"/>
        <v>0</v>
      </c>
      <c r="AD208" s="28">
        <f t="shared" si="282"/>
        <v>45312</v>
      </c>
      <c r="AE208" s="24">
        <f t="shared" si="283"/>
        <v>0</v>
      </c>
      <c r="AF208" s="25">
        <f t="shared" si="284"/>
        <v>0</v>
      </c>
      <c r="AG208" s="28">
        <f t="shared" si="285"/>
        <v>45312</v>
      </c>
      <c r="AH208" s="24">
        <f t="shared" si="286"/>
        <v>0</v>
      </c>
      <c r="AI208" s="25">
        <f t="shared" si="287"/>
        <v>0</v>
      </c>
      <c r="AJ208" s="28">
        <f t="shared" si="288"/>
        <v>45312</v>
      </c>
      <c r="AK208" s="24">
        <f t="shared" si="289"/>
        <v>0</v>
      </c>
      <c r="AL208" s="25">
        <f t="shared" si="290"/>
        <v>0</v>
      </c>
      <c r="AM208" s="29">
        <f t="shared" si="291"/>
        <v>0</v>
      </c>
      <c r="AN208" s="28">
        <f t="shared" si="292"/>
        <v>45312</v>
      </c>
      <c r="AO208" s="373">
        <f t="shared" si="261"/>
        <v>0</v>
      </c>
      <c r="AP208" s="374">
        <f t="shared" si="262"/>
        <v>0</v>
      </c>
      <c r="AQ208" s="27">
        <f t="shared" si="263"/>
        <v>0</v>
      </c>
      <c r="AR208" s="25">
        <f t="shared" si="264"/>
        <v>0</v>
      </c>
      <c r="AS208" s="25">
        <f t="shared" si="265"/>
        <v>0</v>
      </c>
      <c r="AT208" s="25">
        <f t="shared" si="266"/>
        <v>0</v>
      </c>
      <c r="AU208" s="29">
        <f t="shared" si="323"/>
        <v>0</v>
      </c>
      <c r="AV208" s="27">
        <f t="shared" si="293"/>
        <v>0</v>
      </c>
      <c r="AW208" s="27">
        <f t="shared" si="294"/>
        <v>0</v>
      </c>
      <c r="AX208" s="27">
        <f t="shared" si="295"/>
        <v>0</v>
      </c>
      <c r="AY208" s="27">
        <f t="shared" si="296"/>
        <v>0</v>
      </c>
      <c r="BH208" s="2">
        <f t="shared" si="297"/>
        <v>0</v>
      </c>
      <c r="BI208" s="298" t="str">
        <f t="shared" si="298"/>
        <v/>
      </c>
      <c r="BJ208" s="298" t="str">
        <f t="shared" si="267"/>
        <v/>
      </c>
      <c r="BQ208" s="4">
        <f t="shared" si="299"/>
        <v>45312</v>
      </c>
      <c r="BR208" s="112">
        <f t="shared" si="300"/>
        <v>0</v>
      </c>
      <c r="BS208" s="112">
        <f t="shared" si="301"/>
        <v>0</v>
      </c>
      <c r="BT208" s="112">
        <f t="shared" si="302"/>
        <v>0</v>
      </c>
      <c r="BU208" s="112">
        <f t="shared" si="303"/>
        <v>0</v>
      </c>
      <c r="BV208" s="112">
        <f t="shared" si="304"/>
        <v>0</v>
      </c>
      <c r="CI208" s="4">
        <f t="shared" si="305"/>
        <v>45312</v>
      </c>
      <c r="CJ208" s="50">
        <f ca="1">IF($BH208=0,IF($CO208="",CJ207+R208,IF('283'!$K$251=1,VLOOKUP($CO208,PerStBal,2)+R208,IF('283'!$K$253=1,(VLOOKUP($CO208,PerPortion,2)*VLOOKUP($CO208,PerStBal,6))+R208,GL!BS208))),0)</f>
        <v>0</v>
      </c>
      <c r="CK208" s="425">
        <f ca="1">IF($BH208=0,IF($CO208="",CK207+T208,IF('283'!$K$251=1,IF(mname2&lt;&gt;"",VLOOKUP($CO208,PerStBal,3)+T208,0),IF('283'!$K$253=1,(VLOOKUP($CO208,PerPortion,3)*VLOOKUP($CO208,PerStBal,6))+T208,GL!BT208))),0)</f>
        <v>0</v>
      </c>
      <c r="CL208" s="425">
        <f ca="1">IF($BH208=0,IF($CO208="",CL207+V208,IF('283'!$K$251=1,IF(mname3&lt;&gt;"",VLOOKUP($CO208,PerStBal,4)+V208,0),IF('283'!$K$253=1,(VLOOKUP($CO208,PerPortion,4)*VLOOKUP($CO208,PerStBal,6))+V208,GL!BU208))),0)</f>
        <v>0</v>
      </c>
      <c r="CM208" s="425">
        <f ca="1">IF($BH208=0,IF($CO208="",CM207+X208,IF('283'!$K$251=1,IF(mname4&lt;&gt;"",VLOOKUP($CO208,PerStBal,5)+X208,0),IF('283'!$K$253=1,(VLOOKUP($CO208,PerPortion,5)*VLOOKUP($CO208,PerStBal,6))+X208,GL!BV208))),0)</f>
        <v>0</v>
      </c>
      <c r="CN208" s="50">
        <f t="shared" ca="1" si="306"/>
        <v>0</v>
      </c>
      <c r="CO208" s="4" t="str">
        <f t="shared" ca="1" si="307"/>
        <v/>
      </c>
      <c r="CP208" s="377">
        <f t="shared" si="268"/>
        <v>0</v>
      </c>
      <c r="DI208" s="4">
        <f t="shared" si="308"/>
        <v>45312</v>
      </c>
      <c r="DJ208" s="112">
        <f t="shared" ca="1" si="309"/>
        <v>0</v>
      </c>
      <c r="DK208" s="112">
        <f t="shared" si="310"/>
        <v>0</v>
      </c>
      <c r="DL208" s="4">
        <f t="shared" si="311"/>
        <v>45312</v>
      </c>
      <c r="DM208" s="112">
        <f t="shared" ca="1" si="312"/>
        <v>0</v>
      </c>
      <c r="DN208" s="112">
        <f t="shared" si="313"/>
        <v>0</v>
      </c>
      <c r="DO208" s="4">
        <f t="shared" si="314"/>
        <v>45312</v>
      </c>
      <c r="DP208" s="112">
        <f t="shared" ca="1" si="315"/>
        <v>0</v>
      </c>
      <c r="DQ208" s="112">
        <f t="shared" si="316"/>
        <v>0</v>
      </c>
      <c r="DR208" s="4">
        <f t="shared" si="317"/>
        <v>45312</v>
      </c>
      <c r="DS208" s="112">
        <f t="shared" ca="1" si="318"/>
        <v>0</v>
      </c>
      <c r="DT208" s="112">
        <f t="shared" si="319"/>
        <v>0</v>
      </c>
      <c r="DU208" s="4">
        <f t="shared" si="320"/>
        <v>45312</v>
      </c>
      <c r="DV208" s="112">
        <f t="shared" si="321"/>
        <v>0</v>
      </c>
      <c r="DW208" s="112">
        <f t="shared" si="322"/>
        <v>0</v>
      </c>
    </row>
    <row r="209" spans="2:127" x14ac:dyDescent="0.25">
      <c r="B209" s="74"/>
      <c r="C209" s="84"/>
      <c r="D209" s="95"/>
      <c r="E209" s="95"/>
      <c r="F209" s="95"/>
      <c r="H209" s="75">
        <f>DaysInYear/2</f>
        <v>183</v>
      </c>
      <c r="I209" s="77">
        <f>(YearEnd-$J$100)/DaysInYear*K100</f>
        <v>0</v>
      </c>
      <c r="J209" s="77">
        <f>(YearEnd-$J$100)/DaysInYear*L100</f>
        <v>0</v>
      </c>
      <c r="K209" s="77">
        <f>(YearEnd-$J$100)/DaysInYear*M100</f>
        <v>0</v>
      </c>
      <c r="L209" s="77">
        <f>(YearEnd-$J$100)/DaysInYear*N100</f>
        <v>0</v>
      </c>
      <c r="Q209" s="4">
        <f t="shared" si="269"/>
        <v>45313</v>
      </c>
      <c r="R209" s="24">
        <f t="shared" si="270"/>
        <v>0</v>
      </c>
      <c r="S209" s="25">
        <f t="shared" si="271"/>
        <v>0</v>
      </c>
      <c r="T209" s="24">
        <f t="shared" si="272"/>
        <v>0</v>
      </c>
      <c r="U209" s="25">
        <f t="shared" si="273"/>
        <v>0</v>
      </c>
      <c r="V209" s="24">
        <f t="shared" si="274"/>
        <v>0</v>
      </c>
      <c r="W209" s="25">
        <f t="shared" si="275"/>
        <v>0</v>
      </c>
      <c r="X209" s="24">
        <f t="shared" si="276"/>
        <v>0</v>
      </c>
      <c r="Y209" s="26">
        <f t="shared" si="277"/>
        <v>0</v>
      </c>
      <c r="Z209" s="27">
        <f t="shared" si="278"/>
        <v>0</v>
      </c>
      <c r="AA209" s="28">
        <f t="shared" si="279"/>
        <v>45313</v>
      </c>
      <c r="AB209" s="24">
        <f t="shared" si="280"/>
        <v>0</v>
      </c>
      <c r="AC209" s="25">
        <f t="shared" si="281"/>
        <v>0</v>
      </c>
      <c r="AD209" s="28">
        <f t="shared" si="282"/>
        <v>45313</v>
      </c>
      <c r="AE209" s="24">
        <f t="shared" si="283"/>
        <v>0</v>
      </c>
      <c r="AF209" s="25">
        <f t="shared" si="284"/>
        <v>0</v>
      </c>
      <c r="AG209" s="28">
        <f t="shared" si="285"/>
        <v>45313</v>
      </c>
      <c r="AH209" s="24">
        <f t="shared" si="286"/>
        <v>0</v>
      </c>
      <c r="AI209" s="25">
        <f t="shared" si="287"/>
        <v>0</v>
      </c>
      <c r="AJ209" s="28">
        <f t="shared" si="288"/>
        <v>45313</v>
      </c>
      <c r="AK209" s="24">
        <f t="shared" si="289"/>
        <v>0</v>
      </c>
      <c r="AL209" s="25">
        <f t="shared" si="290"/>
        <v>0</v>
      </c>
      <c r="AM209" s="29">
        <f t="shared" si="291"/>
        <v>0</v>
      </c>
      <c r="AN209" s="28">
        <f t="shared" si="292"/>
        <v>45313</v>
      </c>
      <c r="AO209" s="373">
        <f t="shared" si="261"/>
        <v>0</v>
      </c>
      <c r="AP209" s="374">
        <f t="shared" si="262"/>
        <v>0</v>
      </c>
      <c r="AQ209" s="27">
        <f t="shared" si="263"/>
        <v>0</v>
      </c>
      <c r="AR209" s="25">
        <f t="shared" si="264"/>
        <v>0</v>
      </c>
      <c r="AS209" s="25">
        <f t="shared" si="265"/>
        <v>0</v>
      </c>
      <c r="AT209" s="25">
        <f t="shared" si="266"/>
        <v>0</v>
      </c>
      <c r="AU209" s="29">
        <f t="shared" si="323"/>
        <v>0</v>
      </c>
      <c r="AV209" s="27">
        <f t="shared" si="293"/>
        <v>0</v>
      </c>
      <c r="AW209" s="27">
        <f t="shared" si="294"/>
        <v>0</v>
      </c>
      <c r="AX209" s="27">
        <f t="shared" si="295"/>
        <v>0</v>
      </c>
      <c r="AY209" s="27">
        <f t="shared" si="296"/>
        <v>0</v>
      </c>
      <c r="BH209" s="2">
        <f t="shared" si="297"/>
        <v>0</v>
      </c>
      <c r="BI209" s="298" t="str">
        <f t="shared" si="298"/>
        <v/>
      </c>
      <c r="BJ209" s="298" t="str">
        <f t="shared" si="267"/>
        <v/>
      </c>
      <c r="BQ209" s="4">
        <f t="shared" si="299"/>
        <v>45313</v>
      </c>
      <c r="BR209" s="112">
        <f t="shared" si="300"/>
        <v>0</v>
      </c>
      <c r="BS209" s="112">
        <f t="shared" si="301"/>
        <v>0</v>
      </c>
      <c r="BT209" s="112">
        <f t="shared" si="302"/>
        <v>0</v>
      </c>
      <c r="BU209" s="112">
        <f t="shared" si="303"/>
        <v>0</v>
      </c>
      <c r="BV209" s="112">
        <f t="shared" si="304"/>
        <v>0</v>
      </c>
      <c r="CI209" s="4">
        <f t="shared" si="305"/>
        <v>45313</v>
      </c>
      <c r="CJ209" s="50">
        <f ca="1">IF($BH209=0,IF($CO209="",CJ208+R209,IF('283'!$K$251=1,VLOOKUP($CO209,PerStBal,2)+R209,IF('283'!$K$253=1,(VLOOKUP($CO209,PerPortion,2)*VLOOKUP($CO209,PerStBal,6))+R209,GL!BS209))),0)</f>
        <v>0</v>
      </c>
      <c r="CK209" s="425">
        <f ca="1">IF($BH209=0,IF($CO209="",CK208+T209,IF('283'!$K$251=1,IF(mname2&lt;&gt;"",VLOOKUP($CO209,PerStBal,3)+T209,0),IF('283'!$K$253=1,(VLOOKUP($CO209,PerPortion,3)*VLOOKUP($CO209,PerStBal,6))+T209,GL!BT209))),0)</f>
        <v>0</v>
      </c>
      <c r="CL209" s="425">
        <f ca="1">IF($BH209=0,IF($CO209="",CL208+V209,IF('283'!$K$251=1,IF(mname3&lt;&gt;"",VLOOKUP($CO209,PerStBal,4)+V209,0),IF('283'!$K$253=1,(VLOOKUP($CO209,PerPortion,4)*VLOOKUP($CO209,PerStBal,6))+V209,GL!BU209))),0)</f>
        <v>0</v>
      </c>
      <c r="CM209" s="425">
        <f ca="1">IF($BH209=0,IF($CO209="",CM208+X209,IF('283'!$K$251=1,IF(mname4&lt;&gt;"",VLOOKUP($CO209,PerStBal,5)+X209,0),IF('283'!$K$253=1,(VLOOKUP($CO209,PerPortion,5)*VLOOKUP($CO209,PerStBal,6))+X209,GL!BV209))),0)</f>
        <v>0</v>
      </c>
      <c r="CN209" s="50">
        <f t="shared" ca="1" si="306"/>
        <v>0</v>
      </c>
      <c r="CO209" s="4" t="str">
        <f t="shared" ca="1" si="307"/>
        <v/>
      </c>
      <c r="CP209" s="377">
        <f t="shared" si="268"/>
        <v>0</v>
      </c>
      <c r="DI209" s="4">
        <f t="shared" si="308"/>
        <v>45313</v>
      </c>
      <c r="DJ209" s="112">
        <f t="shared" ca="1" si="309"/>
        <v>0</v>
      </c>
      <c r="DK209" s="112">
        <f t="shared" si="310"/>
        <v>0</v>
      </c>
      <c r="DL209" s="4">
        <f t="shared" si="311"/>
        <v>45313</v>
      </c>
      <c r="DM209" s="112">
        <f t="shared" ca="1" si="312"/>
        <v>0</v>
      </c>
      <c r="DN209" s="112">
        <f t="shared" si="313"/>
        <v>0</v>
      </c>
      <c r="DO209" s="4">
        <f t="shared" si="314"/>
        <v>45313</v>
      </c>
      <c r="DP209" s="112">
        <f t="shared" ca="1" si="315"/>
        <v>0</v>
      </c>
      <c r="DQ209" s="112">
        <f t="shared" si="316"/>
        <v>0</v>
      </c>
      <c r="DR209" s="4">
        <f t="shared" si="317"/>
        <v>45313</v>
      </c>
      <c r="DS209" s="112">
        <f t="shared" ca="1" si="318"/>
        <v>0</v>
      </c>
      <c r="DT209" s="112">
        <f t="shared" si="319"/>
        <v>0</v>
      </c>
      <c r="DU209" s="4">
        <f t="shared" si="320"/>
        <v>45313</v>
      </c>
      <c r="DV209" s="112">
        <f t="shared" si="321"/>
        <v>0</v>
      </c>
      <c r="DW209" s="112">
        <f t="shared" si="322"/>
        <v>0</v>
      </c>
    </row>
    <row r="210" spans="2:127" x14ac:dyDescent="0.25">
      <c r="Q210" s="4">
        <f t="shared" si="269"/>
        <v>45314</v>
      </c>
      <c r="R210" s="24">
        <f t="shared" si="270"/>
        <v>0</v>
      </c>
      <c r="S210" s="25">
        <f t="shared" si="271"/>
        <v>0</v>
      </c>
      <c r="T210" s="24">
        <f t="shared" si="272"/>
        <v>0</v>
      </c>
      <c r="U210" s="25">
        <f t="shared" si="273"/>
        <v>0</v>
      </c>
      <c r="V210" s="24">
        <f t="shared" si="274"/>
        <v>0</v>
      </c>
      <c r="W210" s="25">
        <f t="shared" si="275"/>
        <v>0</v>
      </c>
      <c r="X210" s="24">
        <f t="shared" si="276"/>
        <v>0</v>
      </c>
      <c r="Y210" s="26">
        <f t="shared" si="277"/>
        <v>0</v>
      </c>
      <c r="Z210" s="27">
        <f t="shared" si="278"/>
        <v>0</v>
      </c>
      <c r="AA210" s="28">
        <f t="shared" si="279"/>
        <v>45314</v>
      </c>
      <c r="AB210" s="24">
        <f t="shared" si="280"/>
        <v>0</v>
      </c>
      <c r="AC210" s="25">
        <f t="shared" si="281"/>
        <v>0</v>
      </c>
      <c r="AD210" s="28">
        <f t="shared" si="282"/>
        <v>45314</v>
      </c>
      <c r="AE210" s="24">
        <f t="shared" si="283"/>
        <v>0</v>
      </c>
      <c r="AF210" s="25">
        <f t="shared" si="284"/>
        <v>0</v>
      </c>
      <c r="AG210" s="28">
        <f t="shared" si="285"/>
        <v>45314</v>
      </c>
      <c r="AH210" s="24">
        <f t="shared" si="286"/>
        <v>0</v>
      </c>
      <c r="AI210" s="25">
        <f t="shared" si="287"/>
        <v>0</v>
      </c>
      <c r="AJ210" s="28">
        <f t="shared" si="288"/>
        <v>45314</v>
      </c>
      <c r="AK210" s="24">
        <f t="shared" si="289"/>
        <v>0</v>
      </c>
      <c r="AL210" s="25">
        <f t="shared" si="290"/>
        <v>0</v>
      </c>
      <c r="AM210" s="29">
        <f t="shared" si="291"/>
        <v>0</v>
      </c>
      <c r="AN210" s="28">
        <f t="shared" si="292"/>
        <v>45314</v>
      </c>
      <c r="AO210" s="373">
        <f t="shared" si="261"/>
        <v>0</v>
      </c>
      <c r="AP210" s="374">
        <f t="shared" si="262"/>
        <v>0</v>
      </c>
      <c r="AQ210" s="27">
        <f t="shared" si="263"/>
        <v>0</v>
      </c>
      <c r="AR210" s="25">
        <f t="shared" si="264"/>
        <v>0</v>
      </c>
      <c r="AS210" s="25">
        <f t="shared" si="265"/>
        <v>0</v>
      </c>
      <c r="AT210" s="25">
        <f t="shared" si="266"/>
        <v>0</v>
      </c>
      <c r="AU210" s="29">
        <f t="shared" si="323"/>
        <v>0</v>
      </c>
      <c r="AV210" s="27">
        <f t="shared" si="293"/>
        <v>0</v>
      </c>
      <c r="AW210" s="27">
        <f t="shared" si="294"/>
        <v>0</v>
      </c>
      <c r="AX210" s="27">
        <f t="shared" si="295"/>
        <v>0</v>
      </c>
      <c r="AY210" s="27">
        <f t="shared" si="296"/>
        <v>0</v>
      </c>
      <c r="BH210" s="2">
        <f t="shared" si="297"/>
        <v>0</v>
      </c>
      <c r="BI210" s="298" t="str">
        <f t="shared" si="298"/>
        <v/>
      </c>
      <c r="BJ210" s="298" t="str">
        <f t="shared" si="267"/>
        <v/>
      </c>
      <c r="BQ210" s="4">
        <f t="shared" si="299"/>
        <v>45314</v>
      </c>
      <c r="BR210" s="112">
        <f t="shared" si="300"/>
        <v>0</v>
      </c>
      <c r="BS210" s="112">
        <f t="shared" si="301"/>
        <v>0</v>
      </c>
      <c r="BT210" s="112">
        <f t="shared" si="302"/>
        <v>0</v>
      </c>
      <c r="BU210" s="112">
        <f t="shared" si="303"/>
        <v>0</v>
      </c>
      <c r="BV210" s="112">
        <f t="shared" si="304"/>
        <v>0</v>
      </c>
      <c r="CI210" s="4">
        <f t="shared" si="305"/>
        <v>45314</v>
      </c>
      <c r="CJ210" s="50">
        <f ca="1">IF($BH210=0,IF($CO210="",CJ209+R210,IF('283'!$K$251=1,VLOOKUP($CO210,PerStBal,2)+R210,IF('283'!$K$253=1,(VLOOKUP($CO210,PerPortion,2)*VLOOKUP($CO210,PerStBal,6))+R210,GL!BS210))),0)</f>
        <v>0</v>
      </c>
      <c r="CK210" s="425">
        <f ca="1">IF($BH210=0,IF($CO210="",CK209+T210,IF('283'!$K$251=1,IF(mname2&lt;&gt;"",VLOOKUP($CO210,PerStBal,3)+T210,0),IF('283'!$K$253=1,(VLOOKUP($CO210,PerPortion,3)*VLOOKUP($CO210,PerStBal,6))+T210,GL!BT210))),0)</f>
        <v>0</v>
      </c>
      <c r="CL210" s="425">
        <f ca="1">IF($BH210=0,IF($CO210="",CL209+V210,IF('283'!$K$251=1,IF(mname3&lt;&gt;"",VLOOKUP($CO210,PerStBal,4)+V210,0),IF('283'!$K$253=1,(VLOOKUP($CO210,PerPortion,4)*VLOOKUP($CO210,PerStBal,6))+V210,GL!BU210))),0)</f>
        <v>0</v>
      </c>
      <c r="CM210" s="425">
        <f ca="1">IF($BH210=0,IF($CO210="",CM209+X210,IF('283'!$K$251=1,IF(mname4&lt;&gt;"",VLOOKUP($CO210,PerStBal,5)+X210,0),IF('283'!$K$253=1,(VLOOKUP($CO210,PerPortion,5)*VLOOKUP($CO210,PerStBal,6))+X210,GL!BV210))),0)</f>
        <v>0</v>
      </c>
      <c r="CN210" s="50">
        <f t="shared" ca="1" si="306"/>
        <v>0</v>
      </c>
      <c r="CO210" s="4" t="str">
        <f t="shared" ca="1" si="307"/>
        <v/>
      </c>
      <c r="CP210" s="377">
        <f t="shared" si="268"/>
        <v>0</v>
      </c>
      <c r="DI210" s="4">
        <f t="shared" si="308"/>
        <v>45314</v>
      </c>
      <c r="DJ210" s="112">
        <f t="shared" ca="1" si="309"/>
        <v>0</v>
      </c>
      <c r="DK210" s="112">
        <f t="shared" si="310"/>
        <v>0</v>
      </c>
      <c r="DL210" s="4">
        <f t="shared" si="311"/>
        <v>45314</v>
      </c>
      <c r="DM210" s="112">
        <f t="shared" ca="1" si="312"/>
        <v>0</v>
      </c>
      <c r="DN210" s="112">
        <f t="shared" si="313"/>
        <v>0</v>
      </c>
      <c r="DO210" s="4">
        <f t="shared" si="314"/>
        <v>45314</v>
      </c>
      <c r="DP210" s="112">
        <f t="shared" ca="1" si="315"/>
        <v>0</v>
      </c>
      <c r="DQ210" s="112">
        <f t="shared" si="316"/>
        <v>0</v>
      </c>
      <c r="DR210" s="4">
        <f t="shared" si="317"/>
        <v>45314</v>
      </c>
      <c r="DS210" s="112">
        <f t="shared" ca="1" si="318"/>
        <v>0</v>
      </c>
      <c r="DT210" s="112">
        <f t="shared" si="319"/>
        <v>0</v>
      </c>
      <c r="DU210" s="4">
        <f t="shared" si="320"/>
        <v>45314</v>
      </c>
      <c r="DV210" s="112">
        <f t="shared" si="321"/>
        <v>0</v>
      </c>
      <c r="DW210" s="112">
        <f t="shared" si="322"/>
        <v>0</v>
      </c>
    </row>
    <row r="211" spans="2:127" x14ac:dyDescent="0.25">
      <c r="B211" s="2" t="s">
        <v>127</v>
      </c>
      <c r="C211" s="96"/>
      <c r="D211" s="97" t="str">
        <f t="shared" ref="D211:F220" ca="1" si="324">IF(AND(E85&lt;&gt;"",E85&gt;0),$C85,"")</f>
        <v/>
      </c>
      <c r="E211" s="97" t="str">
        <f t="shared" ca="1" si="324"/>
        <v/>
      </c>
      <c r="F211" s="98" t="str">
        <f t="shared" ca="1" si="324"/>
        <v/>
      </c>
      <c r="I211" s="96" t="str">
        <f t="shared" ref="I211:I220" ca="1" si="325">IF(AND(K85&lt;&gt;"",K85&gt;0),$J85,"")</f>
        <v/>
      </c>
      <c r="J211" s="97" t="str">
        <f t="shared" ref="J211:J220" ca="1" si="326">IF(AND(L85&lt;&gt;"",L85&gt;0),$J85,"")</f>
        <v/>
      </c>
      <c r="K211" s="97" t="str">
        <f t="shared" ref="K211:K220" ca="1" si="327">IF(AND(M85&lt;&gt;"",M85&gt;0),$J85,"")</f>
        <v/>
      </c>
      <c r="L211" s="98" t="str">
        <f t="shared" ref="L211:L220" ca="1" si="328">IF(AND(N85&lt;&gt;"",N85&gt;0),$J85,"")</f>
        <v/>
      </c>
      <c r="Q211" s="4">
        <f t="shared" si="269"/>
        <v>45315</v>
      </c>
      <c r="R211" s="24">
        <f t="shared" si="270"/>
        <v>0</v>
      </c>
      <c r="S211" s="25">
        <f t="shared" si="271"/>
        <v>0</v>
      </c>
      <c r="T211" s="24">
        <f t="shared" si="272"/>
        <v>0</v>
      </c>
      <c r="U211" s="25">
        <f t="shared" si="273"/>
        <v>0</v>
      </c>
      <c r="V211" s="24">
        <f t="shared" si="274"/>
        <v>0</v>
      </c>
      <c r="W211" s="25">
        <f t="shared" si="275"/>
        <v>0</v>
      </c>
      <c r="X211" s="24">
        <f t="shared" si="276"/>
        <v>0</v>
      </c>
      <c r="Y211" s="26">
        <f t="shared" si="277"/>
        <v>0</v>
      </c>
      <c r="Z211" s="27">
        <f t="shared" si="278"/>
        <v>0</v>
      </c>
      <c r="AA211" s="28">
        <f t="shared" si="279"/>
        <v>45315</v>
      </c>
      <c r="AB211" s="24">
        <f t="shared" si="280"/>
        <v>0</v>
      </c>
      <c r="AC211" s="25">
        <f t="shared" si="281"/>
        <v>0</v>
      </c>
      <c r="AD211" s="28">
        <f t="shared" si="282"/>
        <v>45315</v>
      </c>
      <c r="AE211" s="24">
        <f t="shared" si="283"/>
        <v>0</v>
      </c>
      <c r="AF211" s="25">
        <f t="shared" si="284"/>
        <v>0</v>
      </c>
      <c r="AG211" s="28">
        <f t="shared" si="285"/>
        <v>45315</v>
      </c>
      <c r="AH211" s="24">
        <f t="shared" si="286"/>
        <v>0</v>
      </c>
      <c r="AI211" s="25">
        <f t="shared" si="287"/>
        <v>0</v>
      </c>
      <c r="AJ211" s="28">
        <f t="shared" si="288"/>
        <v>45315</v>
      </c>
      <c r="AK211" s="24">
        <f t="shared" si="289"/>
        <v>0</v>
      </c>
      <c r="AL211" s="25">
        <f t="shared" si="290"/>
        <v>0</v>
      </c>
      <c r="AM211" s="29">
        <f t="shared" si="291"/>
        <v>0</v>
      </c>
      <c r="AN211" s="28">
        <f t="shared" si="292"/>
        <v>45315</v>
      </c>
      <c r="AO211" s="373">
        <f t="shared" si="261"/>
        <v>0</v>
      </c>
      <c r="AP211" s="374">
        <f t="shared" si="262"/>
        <v>0</v>
      </c>
      <c r="AQ211" s="27">
        <f t="shared" si="263"/>
        <v>0</v>
      </c>
      <c r="AR211" s="25">
        <f t="shared" si="264"/>
        <v>0</v>
      </c>
      <c r="AS211" s="25">
        <f t="shared" si="265"/>
        <v>0</v>
      </c>
      <c r="AT211" s="25">
        <f t="shared" si="266"/>
        <v>0</v>
      </c>
      <c r="AU211" s="29">
        <f t="shared" si="323"/>
        <v>0</v>
      </c>
      <c r="AV211" s="27">
        <f t="shared" si="293"/>
        <v>0</v>
      </c>
      <c r="AW211" s="27">
        <f t="shared" si="294"/>
        <v>0</v>
      </c>
      <c r="AX211" s="27">
        <f t="shared" si="295"/>
        <v>0</v>
      </c>
      <c r="AY211" s="27">
        <f t="shared" si="296"/>
        <v>0</v>
      </c>
      <c r="BH211" s="2">
        <f t="shared" si="297"/>
        <v>0</v>
      </c>
      <c r="BI211" s="298" t="str">
        <f t="shared" si="298"/>
        <v/>
      </c>
      <c r="BJ211" s="298" t="str">
        <f t="shared" si="267"/>
        <v/>
      </c>
      <c r="BQ211" s="4">
        <f t="shared" si="299"/>
        <v>45315</v>
      </c>
      <c r="BR211" s="112">
        <f t="shared" si="300"/>
        <v>0</v>
      </c>
      <c r="BS211" s="112">
        <f t="shared" si="301"/>
        <v>0</v>
      </c>
      <c r="BT211" s="112">
        <f t="shared" si="302"/>
        <v>0</v>
      </c>
      <c r="BU211" s="112">
        <f t="shared" si="303"/>
        <v>0</v>
      </c>
      <c r="BV211" s="112">
        <f t="shared" si="304"/>
        <v>0</v>
      </c>
      <c r="CI211" s="4">
        <f t="shared" si="305"/>
        <v>45315</v>
      </c>
      <c r="CJ211" s="50">
        <f ca="1">IF($BH211=0,IF($CO211="",CJ210+R211,IF('283'!$K$251=1,VLOOKUP($CO211,PerStBal,2)+R211,IF('283'!$K$253=1,(VLOOKUP($CO211,PerPortion,2)*VLOOKUP($CO211,PerStBal,6))+R211,GL!BS211))),0)</f>
        <v>0</v>
      </c>
      <c r="CK211" s="425">
        <f ca="1">IF($BH211=0,IF($CO211="",CK210+T211,IF('283'!$K$251=1,IF(mname2&lt;&gt;"",VLOOKUP($CO211,PerStBal,3)+T211,0),IF('283'!$K$253=1,(VLOOKUP($CO211,PerPortion,3)*VLOOKUP($CO211,PerStBal,6))+T211,GL!BT211))),0)</f>
        <v>0</v>
      </c>
      <c r="CL211" s="425">
        <f ca="1">IF($BH211=0,IF($CO211="",CL210+V211,IF('283'!$K$251=1,IF(mname3&lt;&gt;"",VLOOKUP($CO211,PerStBal,4)+V211,0),IF('283'!$K$253=1,(VLOOKUP($CO211,PerPortion,4)*VLOOKUP($CO211,PerStBal,6))+V211,GL!BU211))),0)</f>
        <v>0</v>
      </c>
      <c r="CM211" s="425">
        <f ca="1">IF($BH211=0,IF($CO211="",CM210+X211,IF('283'!$K$251=1,IF(mname4&lt;&gt;"",VLOOKUP($CO211,PerStBal,5)+X211,0),IF('283'!$K$253=1,(VLOOKUP($CO211,PerPortion,5)*VLOOKUP($CO211,PerStBal,6))+X211,GL!BV211))),0)</f>
        <v>0</v>
      </c>
      <c r="CN211" s="50">
        <f t="shared" ca="1" si="306"/>
        <v>0</v>
      </c>
      <c r="CO211" s="4" t="str">
        <f t="shared" ca="1" si="307"/>
        <v/>
      </c>
      <c r="CP211" s="377">
        <f t="shared" si="268"/>
        <v>0</v>
      </c>
      <c r="DI211" s="4">
        <f t="shared" si="308"/>
        <v>45315</v>
      </c>
      <c r="DJ211" s="112">
        <f t="shared" ca="1" si="309"/>
        <v>0</v>
      </c>
      <c r="DK211" s="112">
        <f t="shared" si="310"/>
        <v>0</v>
      </c>
      <c r="DL211" s="4">
        <f t="shared" si="311"/>
        <v>45315</v>
      </c>
      <c r="DM211" s="112">
        <f t="shared" ca="1" si="312"/>
        <v>0</v>
      </c>
      <c r="DN211" s="112">
        <f t="shared" si="313"/>
        <v>0</v>
      </c>
      <c r="DO211" s="4">
        <f t="shared" si="314"/>
        <v>45315</v>
      </c>
      <c r="DP211" s="112">
        <f t="shared" ca="1" si="315"/>
        <v>0</v>
      </c>
      <c r="DQ211" s="112">
        <f t="shared" si="316"/>
        <v>0</v>
      </c>
      <c r="DR211" s="4">
        <f t="shared" si="317"/>
        <v>45315</v>
      </c>
      <c r="DS211" s="112">
        <f t="shared" ca="1" si="318"/>
        <v>0</v>
      </c>
      <c r="DT211" s="112">
        <f t="shared" si="319"/>
        <v>0</v>
      </c>
      <c r="DU211" s="4">
        <f t="shared" si="320"/>
        <v>45315</v>
      </c>
      <c r="DV211" s="112">
        <f t="shared" si="321"/>
        <v>0</v>
      </c>
      <c r="DW211" s="112">
        <f t="shared" si="322"/>
        <v>0</v>
      </c>
    </row>
    <row r="212" spans="2:127" x14ac:dyDescent="0.25">
      <c r="C212" s="99" t="str">
        <f t="shared" ref="C212:C220" ca="1" si="329">IF(AND(D86&lt;&gt;"",D86&gt;0),$C86,"")</f>
        <v/>
      </c>
      <c r="D212" s="100" t="str">
        <f t="shared" ca="1" si="324"/>
        <v/>
      </c>
      <c r="E212" s="100" t="str">
        <f t="shared" ca="1" si="324"/>
        <v/>
      </c>
      <c r="F212" s="101" t="str">
        <f t="shared" ca="1" si="324"/>
        <v/>
      </c>
      <c r="I212" s="99" t="str">
        <f t="shared" ca="1" si="325"/>
        <v/>
      </c>
      <c r="J212" s="100" t="str">
        <f t="shared" ca="1" si="326"/>
        <v/>
      </c>
      <c r="K212" s="100" t="str">
        <f t="shared" ca="1" si="327"/>
        <v/>
      </c>
      <c r="L212" s="101" t="str">
        <f t="shared" ca="1" si="328"/>
        <v/>
      </c>
      <c r="Q212" s="4">
        <f t="shared" si="269"/>
        <v>45316</v>
      </c>
      <c r="R212" s="24">
        <f t="shared" si="270"/>
        <v>0</v>
      </c>
      <c r="S212" s="25">
        <f t="shared" si="271"/>
        <v>0</v>
      </c>
      <c r="T212" s="24">
        <f t="shared" si="272"/>
        <v>0</v>
      </c>
      <c r="U212" s="25">
        <f t="shared" si="273"/>
        <v>0</v>
      </c>
      <c r="V212" s="24">
        <f t="shared" si="274"/>
        <v>0</v>
      </c>
      <c r="W212" s="25">
        <f t="shared" si="275"/>
        <v>0</v>
      </c>
      <c r="X212" s="24">
        <f t="shared" si="276"/>
        <v>0</v>
      </c>
      <c r="Y212" s="26">
        <f t="shared" si="277"/>
        <v>0</v>
      </c>
      <c r="Z212" s="27">
        <f t="shared" si="278"/>
        <v>0</v>
      </c>
      <c r="AA212" s="28">
        <f t="shared" si="279"/>
        <v>45316</v>
      </c>
      <c r="AB212" s="24">
        <f t="shared" si="280"/>
        <v>0</v>
      </c>
      <c r="AC212" s="25">
        <f t="shared" si="281"/>
        <v>0</v>
      </c>
      <c r="AD212" s="28">
        <f t="shared" si="282"/>
        <v>45316</v>
      </c>
      <c r="AE212" s="24">
        <f t="shared" si="283"/>
        <v>0</v>
      </c>
      <c r="AF212" s="25">
        <f t="shared" si="284"/>
        <v>0</v>
      </c>
      <c r="AG212" s="28">
        <f t="shared" si="285"/>
        <v>45316</v>
      </c>
      <c r="AH212" s="24">
        <f t="shared" si="286"/>
        <v>0</v>
      </c>
      <c r="AI212" s="25">
        <f t="shared" si="287"/>
        <v>0</v>
      </c>
      <c r="AJ212" s="28">
        <f t="shared" si="288"/>
        <v>45316</v>
      </c>
      <c r="AK212" s="24">
        <f t="shared" si="289"/>
        <v>0</v>
      </c>
      <c r="AL212" s="25">
        <f t="shared" si="290"/>
        <v>0</v>
      </c>
      <c r="AM212" s="29">
        <f t="shared" si="291"/>
        <v>0</v>
      </c>
      <c r="AN212" s="28">
        <f t="shared" si="292"/>
        <v>45316</v>
      </c>
      <c r="AO212" s="373">
        <f t="shared" si="261"/>
        <v>0</v>
      </c>
      <c r="AP212" s="374">
        <f t="shared" si="262"/>
        <v>0</v>
      </c>
      <c r="AQ212" s="27">
        <f t="shared" si="263"/>
        <v>0</v>
      </c>
      <c r="AR212" s="25">
        <f t="shared" si="264"/>
        <v>0</v>
      </c>
      <c r="AS212" s="25">
        <f t="shared" si="265"/>
        <v>0</v>
      </c>
      <c r="AT212" s="25">
        <f t="shared" si="266"/>
        <v>0</v>
      </c>
      <c r="AU212" s="29">
        <f t="shared" si="323"/>
        <v>0</v>
      </c>
      <c r="AV212" s="27">
        <f t="shared" si="293"/>
        <v>0</v>
      </c>
      <c r="AW212" s="27">
        <f t="shared" si="294"/>
        <v>0</v>
      </c>
      <c r="AX212" s="27">
        <f t="shared" si="295"/>
        <v>0</v>
      </c>
      <c r="AY212" s="27">
        <f t="shared" si="296"/>
        <v>0</v>
      </c>
      <c r="BH212" s="2">
        <f t="shared" si="297"/>
        <v>0</v>
      </c>
      <c r="BI212" s="298" t="str">
        <f t="shared" si="298"/>
        <v/>
      </c>
      <c r="BJ212" s="298" t="str">
        <f t="shared" si="267"/>
        <v/>
      </c>
      <c r="BQ212" s="4">
        <f t="shared" si="299"/>
        <v>45316</v>
      </c>
      <c r="BR212" s="112">
        <f t="shared" si="300"/>
        <v>0</v>
      </c>
      <c r="BS212" s="112">
        <f t="shared" si="301"/>
        <v>0</v>
      </c>
      <c r="BT212" s="112">
        <f t="shared" si="302"/>
        <v>0</v>
      </c>
      <c r="BU212" s="112">
        <f t="shared" si="303"/>
        <v>0</v>
      </c>
      <c r="BV212" s="112">
        <f t="shared" si="304"/>
        <v>0</v>
      </c>
      <c r="CI212" s="4">
        <f t="shared" si="305"/>
        <v>45316</v>
      </c>
      <c r="CJ212" s="50">
        <f ca="1">IF($BH212=0,IF($CO212="",CJ211+R212,IF('283'!$K$251=1,VLOOKUP($CO212,PerStBal,2)+R212,IF('283'!$K$253=1,(VLOOKUP($CO212,PerPortion,2)*VLOOKUP($CO212,PerStBal,6))+R212,GL!BS212))),0)</f>
        <v>0</v>
      </c>
      <c r="CK212" s="425">
        <f ca="1">IF($BH212=0,IF($CO212="",CK211+T212,IF('283'!$K$251=1,IF(mname2&lt;&gt;"",VLOOKUP($CO212,PerStBal,3)+T212,0),IF('283'!$K$253=1,(VLOOKUP($CO212,PerPortion,3)*VLOOKUP($CO212,PerStBal,6))+T212,GL!BT212))),0)</f>
        <v>0</v>
      </c>
      <c r="CL212" s="425">
        <f ca="1">IF($BH212=0,IF($CO212="",CL211+V212,IF('283'!$K$251=1,IF(mname3&lt;&gt;"",VLOOKUP($CO212,PerStBal,4)+V212,0),IF('283'!$K$253=1,(VLOOKUP($CO212,PerPortion,4)*VLOOKUP($CO212,PerStBal,6))+V212,GL!BU212))),0)</f>
        <v>0</v>
      </c>
      <c r="CM212" s="425">
        <f ca="1">IF($BH212=0,IF($CO212="",CM211+X212,IF('283'!$K$251=1,IF(mname4&lt;&gt;"",VLOOKUP($CO212,PerStBal,5)+X212,0),IF('283'!$K$253=1,(VLOOKUP($CO212,PerPortion,5)*VLOOKUP($CO212,PerStBal,6))+X212,GL!BV212))),0)</f>
        <v>0</v>
      </c>
      <c r="CN212" s="50">
        <f t="shared" ca="1" si="306"/>
        <v>0</v>
      </c>
      <c r="CO212" s="4" t="str">
        <f t="shared" ca="1" si="307"/>
        <v/>
      </c>
      <c r="CP212" s="377">
        <f t="shared" si="268"/>
        <v>0</v>
      </c>
      <c r="DI212" s="4">
        <f t="shared" si="308"/>
        <v>45316</v>
      </c>
      <c r="DJ212" s="112">
        <f t="shared" ca="1" si="309"/>
        <v>0</v>
      </c>
      <c r="DK212" s="112">
        <f t="shared" si="310"/>
        <v>0</v>
      </c>
      <c r="DL212" s="4">
        <f t="shared" si="311"/>
        <v>45316</v>
      </c>
      <c r="DM212" s="112">
        <f t="shared" ca="1" si="312"/>
        <v>0</v>
      </c>
      <c r="DN212" s="112">
        <f t="shared" si="313"/>
        <v>0</v>
      </c>
      <c r="DO212" s="4">
        <f t="shared" si="314"/>
        <v>45316</v>
      </c>
      <c r="DP212" s="112">
        <f t="shared" ca="1" si="315"/>
        <v>0</v>
      </c>
      <c r="DQ212" s="112">
        <f t="shared" si="316"/>
        <v>0</v>
      </c>
      <c r="DR212" s="4">
        <f t="shared" si="317"/>
        <v>45316</v>
      </c>
      <c r="DS212" s="112">
        <f t="shared" ca="1" si="318"/>
        <v>0</v>
      </c>
      <c r="DT212" s="112">
        <f t="shared" si="319"/>
        <v>0</v>
      </c>
      <c r="DU212" s="4">
        <f t="shared" si="320"/>
        <v>45316</v>
      </c>
      <c r="DV212" s="112">
        <f t="shared" si="321"/>
        <v>0</v>
      </c>
      <c r="DW212" s="112">
        <f t="shared" si="322"/>
        <v>0</v>
      </c>
    </row>
    <row r="213" spans="2:127" x14ac:dyDescent="0.25">
      <c r="C213" s="99" t="str">
        <f t="shared" ca="1" si="329"/>
        <v/>
      </c>
      <c r="D213" s="100" t="str">
        <f t="shared" ca="1" si="324"/>
        <v/>
      </c>
      <c r="E213" s="100" t="str">
        <f t="shared" ca="1" si="324"/>
        <v/>
      </c>
      <c r="F213" s="101" t="str">
        <f t="shared" ca="1" si="324"/>
        <v/>
      </c>
      <c r="I213" s="99" t="str">
        <f t="shared" ca="1" si="325"/>
        <v/>
      </c>
      <c r="J213" s="100" t="str">
        <f t="shared" ca="1" si="326"/>
        <v/>
      </c>
      <c r="K213" s="100" t="str">
        <f t="shared" ca="1" si="327"/>
        <v/>
      </c>
      <c r="L213" s="101" t="str">
        <f t="shared" ca="1" si="328"/>
        <v/>
      </c>
      <c r="Q213" s="4">
        <f t="shared" si="269"/>
        <v>45317</v>
      </c>
      <c r="R213" s="24">
        <f t="shared" si="270"/>
        <v>0</v>
      </c>
      <c r="S213" s="25">
        <f t="shared" si="271"/>
        <v>0</v>
      </c>
      <c r="T213" s="24">
        <f t="shared" si="272"/>
        <v>0</v>
      </c>
      <c r="U213" s="25">
        <f t="shared" si="273"/>
        <v>0</v>
      </c>
      <c r="V213" s="24">
        <f t="shared" si="274"/>
        <v>0</v>
      </c>
      <c r="W213" s="25">
        <f t="shared" si="275"/>
        <v>0</v>
      </c>
      <c r="X213" s="24">
        <f t="shared" si="276"/>
        <v>0</v>
      </c>
      <c r="Y213" s="26">
        <f t="shared" si="277"/>
        <v>0</v>
      </c>
      <c r="Z213" s="27">
        <f t="shared" si="278"/>
        <v>0</v>
      </c>
      <c r="AA213" s="28">
        <f t="shared" si="279"/>
        <v>45317</v>
      </c>
      <c r="AB213" s="24">
        <f t="shared" si="280"/>
        <v>0</v>
      </c>
      <c r="AC213" s="25">
        <f t="shared" si="281"/>
        <v>0</v>
      </c>
      <c r="AD213" s="28">
        <f t="shared" si="282"/>
        <v>45317</v>
      </c>
      <c r="AE213" s="24">
        <f t="shared" si="283"/>
        <v>0</v>
      </c>
      <c r="AF213" s="25">
        <f t="shared" si="284"/>
        <v>0</v>
      </c>
      <c r="AG213" s="28">
        <f t="shared" si="285"/>
        <v>45317</v>
      </c>
      <c r="AH213" s="24">
        <f t="shared" si="286"/>
        <v>0</v>
      </c>
      <c r="AI213" s="25">
        <f t="shared" si="287"/>
        <v>0</v>
      </c>
      <c r="AJ213" s="28">
        <f t="shared" si="288"/>
        <v>45317</v>
      </c>
      <c r="AK213" s="24">
        <f t="shared" si="289"/>
        <v>0</v>
      </c>
      <c r="AL213" s="25">
        <f t="shared" si="290"/>
        <v>0</v>
      </c>
      <c r="AM213" s="29">
        <f t="shared" si="291"/>
        <v>0</v>
      </c>
      <c r="AN213" s="28">
        <f t="shared" si="292"/>
        <v>45317</v>
      </c>
      <c r="AO213" s="373">
        <f t="shared" si="261"/>
        <v>0</v>
      </c>
      <c r="AP213" s="374">
        <f t="shared" si="262"/>
        <v>0</v>
      </c>
      <c r="AQ213" s="27">
        <f t="shared" si="263"/>
        <v>0</v>
      </c>
      <c r="AR213" s="25">
        <f t="shared" si="264"/>
        <v>0</v>
      </c>
      <c r="AS213" s="25">
        <f t="shared" si="265"/>
        <v>0</v>
      </c>
      <c r="AT213" s="25">
        <f t="shared" si="266"/>
        <v>0</v>
      </c>
      <c r="AU213" s="29">
        <f t="shared" si="323"/>
        <v>0</v>
      </c>
      <c r="AV213" s="27">
        <f t="shared" si="293"/>
        <v>0</v>
      </c>
      <c r="AW213" s="27">
        <f t="shared" si="294"/>
        <v>0</v>
      </c>
      <c r="AX213" s="27">
        <f t="shared" si="295"/>
        <v>0</v>
      </c>
      <c r="AY213" s="27">
        <f t="shared" si="296"/>
        <v>0</v>
      </c>
      <c r="BH213" s="2">
        <f t="shared" si="297"/>
        <v>0</v>
      </c>
      <c r="BI213" s="298" t="str">
        <f t="shared" si="298"/>
        <v/>
      </c>
      <c r="BJ213" s="298" t="str">
        <f t="shared" si="267"/>
        <v/>
      </c>
      <c r="BQ213" s="4">
        <f t="shared" si="299"/>
        <v>45317</v>
      </c>
      <c r="BR213" s="112">
        <f t="shared" si="300"/>
        <v>0</v>
      </c>
      <c r="BS213" s="112">
        <f t="shared" si="301"/>
        <v>0</v>
      </c>
      <c r="BT213" s="112">
        <f t="shared" si="302"/>
        <v>0</v>
      </c>
      <c r="BU213" s="112">
        <f t="shared" si="303"/>
        <v>0</v>
      </c>
      <c r="BV213" s="112">
        <f t="shared" si="304"/>
        <v>0</v>
      </c>
      <c r="CI213" s="4">
        <f t="shared" si="305"/>
        <v>45317</v>
      </c>
      <c r="CJ213" s="50">
        <f ca="1">IF($BH213=0,IF($CO213="",CJ212+R213,IF('283'!$K$251=1,VLOOKUP($CO213,PerStBal,2)+R213,IF('283'!$K$253=1,(VLOOKUP($CO213,PerPortion,2)*VLOOKUP($CO213,PerStBal,6))+R213,GL!BS213))),0)</f>
        <v>0</v>
      </c>
      <c r="CK213" s="425">
        <f ca="1">IF($BH213=0,IF($CO213="",CK212+T213,IF('283'!$K$251=1,IF(mname2&lt;&gt;"",VLOOKUP($CO213,PerStBal,3)+T213,0),IF('283'!$K$253=1,(VLOOKUP($CO213,PerPortion,3)*VLOOKUP($CO213,PerStBal,6))+T213,GL!BT213))),0)</f>
        <v>0</v>
      </c>
      <c r="CL213" s="425">
        <f ca="1">IF($BH213=0,IF($CO213="",CL212+V213,IF('283'!$K$251=1,IF(mname3&lt;&gt;"",VLOOKUP($CO213,PerStBal,4)+V213,0),IF('283'!$K$253=1,(VLOOKUP($CO213,PerPortion,4)*VLOOKUP($CO213,PerStBal,6))+V213,GL!BU213))),0)</f>
        <v>0</v>
      </c>
      <c r="CM213" s="425">
        <f ca="1">IF($BH213=0,IF($CO213="",CM212+X213,IF('283'!$K$251=1,IF(mname4&lt;&gt;"",VLOOKUP($CO213,PerStBal,5)+X213,0),IF('283'!$K$253=1,(VLOOKUP($CO213,PerPortion,5)*VLOOKUP($CO213,PerStBal,6))+X213,GL!BV213))),0)</f>
        <v>0</v>
      </c>
      <c r="CN213" s="50">
        <f t="shared" ca="1" si="306"/>
        <v>0</v>
      </c>
      <c r="CO213" s="4" t="str">
        <f t="shared" ca="1" si="307"/>
        <v/>
      </c>
      <c r="CP213" s="377">
        <f t="shared" si="268"/>
        <v>0</v>
      </c>
      <c r="DI213" s="4">
        <f t="shared" si="308"/>
        <v>45317</v>
      </c>
      <c r="DJ213" s="112">
        <f t="shared" ca="1" si="309"/>
        <v>0</v>
      </c>
      <c r="DK213" s="112">
        <f t="shared" si="310"/>
        <v>0</v>
      </c>
      <c r="DL213" s="4">
        <f t="shared" si="311"/>
        <v>45317</v>
      </c>
      <c r="DM213" s="112">
        <f t="shared" ca="1" si="312"/>
        <v>0</v>
      </c>
      <c r="DN213" s="112">
        <f t="shared" si="313"/>
        <v>0</v>
      </c>
      <c r="DO213" s="4">
        <f t="shared" si="314"/>
        <v>45317</v>
      </c>
      <c r="DP213" s="112">
        <f t="shared" ca="1" si="315"/>
        <v>0</v>
      </c>
      <c r="DQ213" s="112">
        <f t="shared" si="316"/>
        <v>0</v>
      </c>
      <c r="DR213" s="4">
        <f t="shared" si="317"/>
        <v>45317</v>
      </c>
      <c r="DS213" s="112">
        <f t="shared" ca="1" si="318"/>
        <v>0</v>
      </c>
      <c r="DT213" s="112">
        <f t="shared" si="319"/>
        <v>0</v>
      </c>
      <c r="DU213" s="4">
        <f t="shared" si="320"/>
        <v>45317</v>
      </c>
      <c r="DV213" s="112">
        <f t="shared" si="321"/>
        <v>0</v>
      </c>
      <c r="DW213" s="112">
        <f t="shared" si="322"/>
        <v>0</v>
      </c>
    </row>
    <row r="214" spans="2:127" x14ac:dyDescent="0.25">
      <c r="C214" s="99" t="str">
        <f t="shared" ca="1" si="329"/>
        <v/>
      </c>
      <c r="D214" s="100" t="str">
        <f t="shared" ca="1" si="324"/>
        <v/>
      </c>
      <c r="E214" s="100" t="str">
        <f t="shared" ca="1" si="324"/>
        <v/>
      </c>
      <c r="F214" s="101" t="str">
        <f t="shared" ca="1" si="324"/>
        <v/>
      </c>
      <c r="I214" s="99" t="str">
        <f t="shared" ca="1" si="325"/>
        <v/>
      </c>
      <c r="J214" s="100" t="str">
        <f t="shared" ca="1" si="326"/>
        <v/>
      </c>
      <c r="K214" s="100" t="str">
        <f t="shared" ca="1" si="327"/>
        <v/>
      </c>
      <c r="L214" s="101" t="str">
        <f t="shared" ca="1" si="328"/>
        <v/>
      </c>
      <c r="Q214" s="4">
        <f t="shared" si="269"/>
        <v>45318</v>
      </c>
      <c r="R214" s="24">
        <f t="shared" si="270"/>
        <v>0</v>
      </c>
      <c r="S214" s="25">
        <f t="shared" si="271"/>
        <v>0</v>
      </c>
      <c r="T214" s="24">
        <f t="shared" si="272"/>
        <v>0</v>
      </c>
      <c r="U214" s="25">
        <f t="shared" si="273"/>
        <v>0</v>
      </c>
      <c r="V214" s="24">
        <f t="shared" si="274"/>
        <v>0</v>
      </c>
      <c r="W214" s="25">
        <f t="shared" si="275"/>
        <v>0</v>
      </c>
      <c r="X214" s="24">
        <f t="shared" si="276"/>
        <v>0</v>
      </c>
      <c r="Y214" s="26">
        <f t="shared" si="277"/>
        <v>0</v>
      </c>
      <c r="Z214" s="27">
        <f t="shared" si="278"/>
        <v>0</v>
      </c>
      <c r="AA214" s="28">
        <f t="shared" si="279"/>
        <v>45318</v>
      </c>
      <c r="AB214" s="24">
        <f t="shared" si="280"/>
        <v>0</v>
      </c>
      <c r="AC214" s="25">
        <f t="shared" si="281"/>
        <v>0</v>
      </c>
      <c r="AD214" s="28">
        <f t="shared" si="282"/>
        <v>45318</v>
      </c>
      <c r="AE214" s="24">
        <f t="shared" si="283"/>
        <v>0</v>
      </c>
      <c r="AF214" s="25">
        <f t="shared" si="284"/>
        <v>0</v>
      </c>
      <c r="AG214" s="28">
        <f t="shared" si="285"/>
        <v>45318</v>
      </c>
      <c r="AH214" s="24">
        <f t="shared" si="286"/>
        <v>0</v>
      </c>
      <c r="AI214" s="25">
        <f t="shared" si="287"/>
        <v>0</v>
      </c>
      <c r="AJ214" s="28">
        <f t="shared" si="288"/>
        <v>45318</v>
      </c>
      <c r="AK214" s="24">
        <f t="shared" si="289"/>
        <v>0</v>
      </c>
      <c r="AL214" s="25">
        <f t="shared" si="290"/>
        <v>0</v>
      </c>
      <c r="AM214" s="29">
        <f t="shared" si="291"/>
        <v>0</v>
      </c>
      <c r="AN214" s="28">
        <f t="shared" si="292"/>
        <v>45318</v>
      </c>
      <c r="AO214" s="373">
        <f t="shared" si="261"/>
        <v>0</v>
      </c>
      <c r="AP214" s="374">
        <f t="shared" si="262"/>
        <v>0</v>
      </c>
      <c r="AQ214" s="27">
        <f t="shared" si="263"/>
        <v>0</v>
      </c>
      <c r="AR214" s="25">
        <f t="shared" si="264"/>
        <v>0</v>
      </c>
      <c r="AS214" s="25">
        <f t="shared" si="265"/>
        <v>0</v>
      </c>
      <c r="AT214" s="25">
        <f t="shared" si="266"/>
        <v>0</v>
      </c>
      <c r="AU214" s="29">
        <f t="shared" si="323"/>
        <v>0</v>
      </c>
      <c r="AV214" s="27">
        <f t="shared" si="293"/>
        <v>0</v>
      </c>
      <c r="AW214" s="27">
        <f t="shared" si="294"/>
        <v>0</v>
      </c>
      <c r="AX214" s="27">
        <f t="shared" si="295"/>
        <v>0</v>
      </c>
      <c r="AY214" s="27">
        <f t="shared" si="296"/>
        <v>0</v>
      </c>
      <c r="BH214" s="2">
        <f t="shared" si="297"/>
        <v>0</v>
      </c>
      <c r="BI214" s="298" t="str">
        <f t="shared" si="298"/>
        <v/>
      </c>
      <c r="BJ214" s="298" t="str">
        <f t="shared" si="267"/>
        <v/>
      </c>
      <c r="BQ214" s="4">
        <f t="shared" si="299"/>
        <v>45318</v>
      </c>
      <c r="BR214" s="112">
        <f t="shared" si="300"/>
        <v>0</v>
      </c>
      <c r="BS214" s="112">
        <f t="shared" si="301"/>
        <v>0</v>
      </c>
      <c r="BT214" s="112">
        <f t="shared" si="302"/>
        <v>0</v>
      </c>
      <c r="BU214" s="112">
        <f t="shared" si="303"/>
        <v>0</v>
      </c>
      <c r="BV214" s="112">
        <f t="shared" si="304"/>
        <v>0</v>
      </c>
      <c r="CI214" s="4">
        <f t="shared" si="305"/>
        <v>45318</v>
      </c>
      <c r="CJ214" s="50">
        <f ca="1">IF($BH214=0,IF($CO214="",CJ213+R214,IF('283'!$K$251=1,VLOOKUP($CO214,PerStBal,2)+R214,IF('283'!$K$253=1,(VLOOKUP($CO214,PerPortion,2)*VLOOKUP($CO214,PerStBal,6))+R214,GL!BS214))),0)</f>
        <v>0</v>
      </c>
      <c r="CK214" s="425">
        <f ca="1">IF($BH214=0,IF($CO214="",CK213+T214,IF('283'!$K$251=1,IF(mname2&lt;&gt;"",VLOOKUP($CO214,PerStBal,3)+T214,0),IF('283'!$K$253=1,(VLOOKUP($CO214,PerPortion,3)*VLOOKUP($CO214,PerStBal,6))+T214,GL!BT214))),0)</f>
        <v>0</v>
      </c>
      <c r="CL214" s="425">
        <f ca="1">IF($BH214=0,IF($CO214="",CL213+V214,IF('283'!$K$251=1,IF(mname3&lt;&gt;"",VLOOKUP($CO214,PerStBal,4)+V214,0),IF('283'!$K$253=1,(VLOOKUP($CO214,PerPortion,4)*VLOOKUP($CO214,PerStBal,6))+V214,GL!BU214))),0)</f>
        <v>0</v>
      </c>
      <c r="CM214" s="425">
        <f ca="1">IF($BH214=0,IF($CO214="",CM213+X214,IF('283'!$K$251=1,IF(mname4&lt;&gt;"",VLOOKUP($CO214,PerStBal,5)+X214,0),IF('283'!$K$253=1,(VLOOKUP($CO214,PerPortion,5)*VLOOKUP($CO214,PerStBal,6))+X214,GL!BV214))),0)</f>
        <v>0</v>
      </c>
      <c r="CN214" s="50">
        <f t="shared" ca="1" si="306"/>
        <v>0</v>
      </c>
      <c r="CO214" s="4" t="str">
        <f t="shared" ca="1" si="307"/>
        <v/>
      </c>
      <c r="CP214" s="377">
        <f t="shared" si="268"/>
        <v>0</v>
      </c>
      <c r="DI214" s="4">
        <f t="shared" si="308"/>
        <v>45318</v>
      </c>
      <c r="DJ214" s="112">
        <f t="shared" ca="1" si="309"/>
        <v>0</v>
      </c>
      <c r="DK214" s="112">
        <f t="shared" si="310"/>
        <v>0</v>
      </c>
      <c r="DL214" s="4">
        <f t="shared" si="311"/>
        <v>45318</v>
      </c>
      <c r="DM214" s="112">
        <f t="shared" ca="1" si="312"/>
        <v>0</v>
      </c>
      <c r="DN214" s="112">
        <f t="shared" si="313"/>
        <v>0</v>
      </c>
      <c r="DO214" s="4">
        <f t="shared" si="314"/>
        <v>45318</v>
      </c>
      <c r="DP214" s="112">
        <f t="shared" ca="1" si="315"/>
        <v>0</v>
      </c>
      <c r="DQ214" s="112">
        <f t="shared" si="316"/>
        <v>0</v>
      </c>
      <c r="DR214" s="4">
        <f t="shared" si="317"/>
        <v>45318</v>
      </c>
      <c r="DS214" s="112">
        <f t="shared" ca="1" si="318"/>
        <v>0</v>
      </c>
      <c r="DT214" s="112">
        <f t="shared" si="319"/>
        <v>0</v>
      </c>
      <c r="DU214" s="4">
        <f t="shared" si="320"/>
        <v>45318</v>
      </c>
      <c r="DV214" s="112">
        <f t="shared" si="321"/>
        <v>0</v>
      </c>
      <c r="DW214" s="112">
        <f t="shared" si="322"/>
        <v>0</v>
      </c>
    </row>
    <row r="215" spans="2:127" x14ac:dyDescent="0.25">
      <c r="C215" s="99" t="str">
        <f t="shared" ca="1" si="329"/>
        <v/>
      </c>
      <c r="D215" s="100" t="str">
        <f t="shared" ca="1" si="324"/>
        <v/>
      </c>
      <c r="E215" s="100" t="str">
        <f t="shared" ca="1" si="324"/>
        <v/>
      </c>
      <c r="F215" s="101" t="str">
        <f t="shared" ca="1" si="324"/>
        <v/>
      </c>
      <c r="I215" s="99" t="str">
        <f t="shared" ca="1" si="325"/>
        <v/>
      </c>
      <c r="J215" s="100" t="str">
        <f t="shared" ca="1" si="326"/>
        <v/>
      </c>
      <c r="K215" s="100" t="str">
        <f t="shared" ca="1" si="327"/>
        <v/>
      </c>
      <c r="L215" s="101" t="str">
        <f t="shared" ca="1" si="328"/>
        <v/>
      </c>
      <c r="Q215" s="4">
        <f t="shared" si="269"/>
        <v>45319</v>
      </c>
      <c r="R215" s="24">
        <f t="shared" si="270"/>
        <v>0</v>
      </c>
      <c r="S215" s="25">
        <f t="shared" si="271"/>
        <v>0</v>
      </c>
      <c r="T215" s="24">
        <f t="shared" si="272"/>
        <v>0</v>
      </c>
      <c r="U215" s="25">
        <f t="shared" si="273"/>
        <v>0</v>
      </c>
      <c r="V215" s="24">
        <f t="shared" si="274"/>
        <v>0</v>
      </c>
      <c r="W215" s="25">
        <f t="shared" si="275"/>
        <v>0</v>
      </c>
      <c r="X215" s="24">
        <f t="shared" si="276"/>
        <v>0</v>
      </c>
      <c r="Y215" s="26">
        <f t="shared" si="277"/>
        <v>0</v>
      </c>
      <c r="Z215" s="27">
        <f t="shared" si="278"/>
        <v>0</v>
      </c>
      <c r="AA215" s="28">
        <f t="shared" si="279"/>
        <v>45319</v>
      </c>
      <c r="AB215" s="24">
        <f t="shared" si="280"/>
        <v>0</v>
      </c>
      <c r="AC215" s="25">
        <f t="shared" si="281"/>
        <v>0</v>
      </c>
      <c r="AD215" s="28">
        <f t="shared" si="282"/>
        <v>45319</v>
      </c>
      <c r="AE215" s="24">
        <f t="shared" si="283"/>
        <v>0</v>
      </c>
      <c r="AF215" s="25">
        <f t="shared" si="284"/>
        <v>0</v>
      </c>
      <c r="AG215" s="28">
        <f t="shared" si="285"/>
        <v>45319</v>
      </c>
      <c r="AH215" s="24">
        <f t="shared" si="286"/>
        <v>0</v>
      </c>
      <c r="AI215" s="25">
        <f t="shared" si="287"/>
        <v>0</v>
      </c>
      <c r="AJ215" s="28">
        <f t="shared" si="288"/>
        <v>45319</v>
      </c>
      <c r="AK215" s="24">
        <f t="shared" si="289"/>
        <v>0</v>
      </c>
      <c r="AL215" s="25">
        <f t="shared" si="290"/>
        <v>0</v>
      </c>
      <c r="AM215" s="29">
        <f t="shared" si="291"/>
        <v>0</v>
      </c>
      <c r="AN215" s="28">
        <f t="shared" si="292"/>
        <v>45319</v>
      </c>
      <c r="AO215" s="373">
        <f t="shared" si="261"/>
        <v>0</v>
      </c>
      <c r="AP215" s="374">
        <f t="shared" si="262"/>
        <v>0</v>
      </c>
      <c r="AQ215" s="27">
        <f t="shared" si="263"/>
        <v>0</v>
      </c>
      <c r="AR215" s="25">
        <f t="shared" si="264"/>
        <v>0</v>
      </c>
      <c r="AS215" s="25">
        <f t="shared" si="265"/>
        <v>0</v>
      </c>
      <c r="AT215" s="25">
        <f t="shared" si="266"/>
        <v>0</v>
      </c>
      <c r="AU215" s="29">
        <f t="shared" si="323"/>
        <v>0</v>
      </c>
      <c r="AV215" s="27">
        <f t="shared" si="293"/>
        <v>0</v>
      </c>
      <c r="AW215" s="27">
        <f t="shared" si="294"/>
        <v>0</v>
      </c>
      <c r="AX215" s="27">
        <f t="shared" si="295"/>
        <v>0</v>
      </c>
      <c r="AY215" s="27">
        <f t="shared" si="296"/>
        <v>0</v>
      </c>
      <c r="BH215" s="2">
        <f t="shared" si="297"/>
        <v>0</v>
      </c>
      <c r="BI215" s="298" t="str">
        <f t="shared" si="298"/>
        <v/>
      </c>
      <c r="BJ215" s="298" t="str">
        <f t="shared" si="267"/>
        <v/>
      </c>
      <c r="BQ215" s="4">
        <f t="shared" si="299"/>
        <v>45319</v>
      </c>
      <c r="BR215" s="112">
        <f t="shared" si="300"/>
        <v>0</v>
      </c>
      <c r="BS215" s="112">
        <f t="shared" si="301"/>
        <v>0</v>
      </c>
      <c r="BT215" s="112">
        <f t="shared" si="302"/>
        <v>0</v>
      </c>
      <c r="BU215" s="112">
        <f t="shared" si="303"/>
        <v>0</v>
      </c>
      <c r="BV215" s="112">
        <f t="shared" si="304"/>
        <v>0</v>
      </c>
      <c r="CI215" s="4">
        <f t="shared" si="305"/>
        <v>45319</v>
      </c>
      <c r="CJ215" s="50">
        <f ca="1">IF($BH215=0,IF($CO215="",CJ214+R215,IF('283'!$K$251=1,VLOOKUP($CO215,PerStBal,2)+R215,IF('283'!$K$253=1,(VLOOKUP($CO215,PerPortion,2)*VLOOKUP($CO215,PerStBal,6))+R215,GL!BS215))),0)</f>
        <v>0</v>
      </c>
      <c r="CK215" s="425">
        <f ca="1">IF($BH215=0,IF($CO215="",CK214+T215,IF('283'!$K$251=1,IF(mname2&lt;&gt;"",VLOOKUP($CO215,PerStBal,3)+T215,0),IF('283'!$K$253=1,(VLOOKUP($CO215,PerPortion,3)*VLOOKUP($CO215,PerStBal,6))+T215,GL!BT215))),0)</f>
        <v>0</v>
      </c>
      <c r="CL215" s="425">
        <f ca="1">IF($BH215=0,IF($CO215="",CL214+V215,IF('283'!$K$251=1,IF(mname3&lt;&gt;"",VLOOKUP($CO215,PerStBal,4)+V215,0),IF('283'!$K$253=1,(VLOOKUP($CO215,PerPortion,4)*VLOOKUP($CO215,PerStBal,6))+V215,GL!BU215))),0)</f>
        <v>0</v>
      </c>
      <c r="CM215" s="425">
        <f ca="1">IF($BH215=0,IF($CO215="",CM214+X215,IF('283'!$K$251=1,IF(mname4&lt;&gt;"",VLOOKUP($CO215,PerStBal,5)+X215,0),IF('283'!$K$253=1,(VLOOKUP($CO215,PerPortion,5)*VLOOKUP($CO215,PerStBal,6))+X215,GL!BV215))),0)</f>
        <v>0</v>
      </c>
      <c r="CN215" s="50">
        <f t="shared" ca="1" si="306"/>
        <v>0</v>
      </c>
      <c r="CO215" s="4" t="str">
        <f t="shared" ca="1" si="307"/>
        <v/>
      </c>
      <c r="CP215" s="377">
        <f t="shared" si="268"/>
        <v>0</v>
      </c>
      <c r="DI215" s="4">
        <f t="shared" si="308"/>
        <v>45319</v>
      </c>
      <c r="DJ215" s="112">
        <f t="shared" ca="1" si="309"/>
        <v>0</v>
      </c>
      <c r="DK215" s="112">
        <f t="shared" si="310"/>
        <v>0</v>
      </c>
      <c r="DL215" s="4">
        <f t="shared" si="311"/>
        <v>45319</v>
      </c>
      <c r="DM215" s="112">
        <f t="shared" ca="1" si="312"/>
        <v>0</v>
      </c>
      <c r="DN215" s="112">
        <f t="shared" si="313"/>
        <v>0</v>
      </c>
      <c r="DO215" s="4">
        <f t="shared" si="314"/>
        <v>45319</v>
      </c>
      <c r="DP215" s="112">
        <f t="shared" ca="1" si="315"/>
        <v>0</v>
      </c>
      <c r="DQ215" s="112">
        <f t="shared" si="316"/>
        <v>0</v>
      </c>
      <c r="DR215" s="4">
        <f t="shared" si="317"/>
        <v>45319</v>
      </c>
      <c r="DS215" s="112">
        <f t="shared" ca="1" si="318"/>
        <v>0</v>
      </c>
      <c r="DT215" s="112">
        <f t="shared" si="319"/>
        <v>0</v>
      </c>
      <c r="DU215" s="4">
        <f t="shared" si="320"/>
        <v>45319</v>
      </c>
      <c r="DV215" s="112">
        <f t="shared" si="321"/>
        <v>0</v>
      </c>
      <c r="DW215" s="112">
        <f t="shared" si="322"/>
        <v>0</v>
      </c>
    </row>
    <row r="216" spans="2:127" x14ac:dyDescent="0.25">
      <c r="C216" s="99" t="str">
        <f t="shared" ca="1" si="329"/>
        <v/>
      </c>
      <c r="D216" s="100" t="str">
        <f t="shared" ca="1" si="324"/>
        <v/>
      </c>
      <c r="E216" s="100" t="str">
        <f t="shared" ca="1" si="324"/>
        <v/>
      </c>
      <c r="F216" s="101" t="str">
        <f t="shared" ca="1" si="324"/>
        <v/>
      </c>
      <c r="I216" s="99" t="str">
        <f t="shared" ca="1" si="325"/>
        <v/>
      </c>
      <c r="J216" s="100" t="str">
        <f t="shared" ca="1" si="326"/>
        <v/>
      </c>
      <c r="K216" s="100" t="str">
        <f t="shared" ca="1" si="327"/>
        <v/>
      </c>
      <c r="L216" s="101" t="str">
        <f t="shared" ca="1" si="328"/>
        <v/>
      </c>
      <c r="Q216" s="4">
        <f t="shared" si="269"/>
        <v>45320</v>
      </c>
      <c r="R216" s="24">
        <f t="shared" si="270"/>
        <v>0</v>
      </c>
      <c r="S216" s="25">
        <f t="shared" si="271"/>
        <v>0</v>
      </c>
      <c r="T216" s="24">
        <f t="shared" si="272"/>
        <v>0</v>
      </c>
      <c r="U216" s="25">
        <f t="shared" si="273"/>
        <v>0</v>
      </c>
      <c r="V216" s="24">
        <f t="shared" si="274"/>
        <v>0</v>
      </c>
      <c r="W216" s="25">
        <f t="shared" si="275"/>
        <v>0</v>
      </c>
      <c r="X216" s="24">
        <f t="shared" si="276"/>
        <v>0</v>
      </c>
      <c r="Y216" s="26">
        <f t="shared" si="277"/>
        <v>0</v>
      </c>
      <c r="Z216" s="27">
        <f t="shared" si="278"/>
        <v>0</v>
      </c>
      <c r="AA216" s="28">
        <f t="shared" si="279"/>
        <v>45320</v>
      </c>
      <c r="AB216" s="24">
        <f t="shared" si="280"/>
        <v>0</v>
      </c>
      <c r="AC216" s="25">
        <f t="shared" si="281"/>
        <v>0</v>
      </c>
      <c r="AD216" s="28">
        <f t="shared" si="282"/>
        <v>45320</v>
      </c>
      <c r="AE216" s="24">
        <f t="shared" si="283"/>
        <v>0</v>
      </c>
      <c r="AF216" s="25">
        <f t="shared" si="284"/>
        <v>0</v>
      </c>
      <c r="AG216" s="28">
        <f t="shared" si="285"/>
        <v>45320</v>
      </c>
      <c r="AH216" s="24">
        <f t="shared" si="286"/>
        <v>0</v>
      </c>
      <c r="AI216" s="25">
        <f t="shared" si="287"/>
        <v>0</v>
      </c>
      <c r="AJ216" s="28">
        <f t="shared" si="288"/>
        <v>45320</v>
      </c>
      <c r="AK216" s="24">
        <f t="shared" si="289"/>
        <v>0</v>
      </c>
      <c r="AL216" s="25">
        <f t="shared" si="290"/>
        <v>0</v>
      </c>
      <c r="AM216" s="29">
        <f t="shared" si="291"/>
        <v>0</v>
      </c>
      <c r="AN216" s="28">
        <f t="shared" si="292"/>
        <v>45320</v>
      </c>
      <c r="AO216" s="373">
        <f t="shared" si="261"/>
        <v>0</v>
      </c>
      <c r="AP216" s="374">
        <f t="shared" si="262"/>
        <v>0</v>
      </c>
      <c r="AQ216" s="27">
        <f t="shared" si="263"/>
        <v>0</v>
      </c>
      <c r="AR216" s="25">
        <f t="shared" si="264"/>
        <v>0</v>
      </c>
      <c r="AS216" s="25">
        <f t="shared" si="265"/>
        <v>0</v>
      </c>
      <c r="AT216" s="25">
        <f t="shared" si="266"/>
        <v>0</v>
      </c>
      <c r="AU216" s="29">
        <f t="shared" si="323"/>
        <v>0</v>
      </c>
      <c r="AV216" s="27">
        <f t="shared" si="293"/>
        <v>0</v>
      </c>
      <c r="AW216" s="27">
        <f t="shared" si="294"/>
        <v>0</v>
      </c>
      <c r="AX216" s="27">
        <f t="shared" si="295"/>
        <v>0</v>
      </c>
      <c r="AY216" s="27">
        <f t="shared" si="296"/>
        <v>0</v>
      </c>
      <c r="BH216" s="2">
        <f t="shared" si="297"/>
        <v>0</v>
      </c>
      <c r="BI216" s="298" t="str">
        <f t="shared" si="298"/>
        <v/>
      </c>
      <c r="BJ216" s="298" t="str">
        <f t="shared" si="267"/>
        <v/>
      </c>
      <c r="BQ216" s="4">
        <f t="shared" si="299"/>
        <v>45320</v>
      </c>
      <c r="BR216" s="112">
        <f t="shared" si="300"/>
        <v>0</v>
      </c>
      <c r="BS216" s="112">
        <f t="shared" si="301"/>
        <v>0</v>
      </c>
      <c r="BT216" s="112">
        <f t="shared" si="302"/>
        <v>0</v>
      </c>
      <c r="BU216" s="112">
        <f t="shared" si="303"/>
        <v>0</v>
      </c>
      <c r="BV216" s="112">
        <f t="shared" si="304"/>
        <v>0</v>
      </c>
      <c r="CI216" s="4">
        <f t="shared" si="305"/>
        <v>45320</v>
      </c>
      <c r="CJ216" s="50">
        <f ca="1">IF($BH216=0,IF($CO216="",CJ215+R216,IF('283'!$K$251=1,VLOOKUP($CO216,PerStBal,2)+R216,IF('283'!$K$253=1,(VLOOKUP($CO216,PerPortion,2)*VLOOKUP($CO216,PerStBal,6))+R216,GL!BS216))),0)</f>
        <v>0</v>
      </c>
      <c r="CK216" s="425">
        <f ca="1">IF($BH216=0,IF($CO216="",CK215+T216,IF('283'!$K$251=1,IF(mname2&lt;&gt;"",VLOOKUP($CO216,PerStBal,3)+T216,0),IF('283'!$K$253=1,(VLOOKUP($CO216,PerPortion,3)*VLOOKUP($CO216,PerStBal,6))+T216,GL!BT216))),0)</f>
        <v>0</v>
      </c>
      <c r="CL216" s="425">
        <f ca="1">IF($BH216=0,IF($CO216="",CL215+V216,IF('283'!$K$251=1,IF(mname3&lt;&gt;"",VLOOKUP($CO216,PerStBal,4)+V216,0),IF('283'!$K$253=1,(VLOOKUP($CO216,PerPortion,4)*VLOOKUP($CO216,PerStBal,6))+V216,GL!BU216))),0)</f>
        <v>0</v>
      </c>
      <c r="CM216" s="425">
        <f ca="1">IF($BH216=0,IF($CO216="",CM215+X216,IF('283'!$K$251=1,IF(mname4&lt;&gt;"",VLOOKUP($CO216,PerStBal,5)+X216,0),IF('283'!$K$253=1,(VLOOKUP($CO216,PerPortion,5)*VLOOKUP($CO216,PerStBal,6))+X216,GL!BV216))),0)</f>
        <v>0</v>
      </c>
      <c r="CN216" s="50">
        <f t="shared" ca="1" si="306"/>
        <v>0</v>
      </c>
      <c r="CO216" s="4" t="str">
        <f t="shared" ca="1" si="307"/>
        <v/>
      </c>
      <c r="CP216" s="377">
        <f t="shared" si="268"/>
        <v>0</v>
      </c>
      <c r="DI216" s="4">
        <f t="shared" si="308"/>
        <v>45320</v>
      </c>
      <c r="DJ216" s="112">
        <f t="shared" ca="1" si="309"/>
        <v>0</v>
      </c>
      <c r="DK216" s="112">
        <f t="shared" si="310"/>
        <v>0</v>
      </c>
      <c r="DL216" s="4">
        <f t="shared" si="311"/>
        <v>45320</v>
      </c>
      <c r="DM216" s="112">
        <f t="shared" ca="1" si="312"/>
        <v>0</v>
      </c>
      <c r="DN216" s="112">
        <f t="shared" si="313"/>
        <v>0</v>
      </c>
      <c r="DO216" s="4">
        <f t="shared" si="314"/>
        <v>45320</v>
      </c>
      <c r="DP216" s="112">
        <f t="shared" ca="1" si="315"/>
        <v>0</v>
      </c>
      <c r="DQ216" s="112">
        <f t="shared" si="316"/>
        <v>0</v>
      </c>
      <c r="DR216" s="4">
        <f t="shared" si="317"/>
        <v>45320</v>
      </c>
      <c r="DS216" s="112">
        <f t="shared" ca="1" si="318"/>
        <v>0</v>
      </c>
      <c r="DT216" s="112">
        <f t="shared" si="319"/>
        <v>0</v>
      </c>
      <c r="DU216" s="4">
        <f t="shared" si="320"/>
        <v>45320</v>
      </c>
      <c r="DV216" s="112">
        <f t="shared" si="321"/>
        <v>0</v>
      </c>
      <c r="DW216" s="112">
        <f t="shared" si="322"/>
        <v>0</v>
      </c>
    </row>
    <row r="217" spans="2:127" x14ac:dyDescent="0.25">
      <c r="C217" s="99" t="str">
        <f t="shared" ca="1" si="329"/>
        <v/>
      </c>
      <c r="D217" s="100" t="str">
        <f t="shared" ca="1" si="324"/>
        <v/>
      </c>
      <c r="E217" s="100" t="str">
        <f t="shared" ca="1" si="324"/>
        <v/>
      </c>
      <c r="F217" s="101" t="str">
        <f t="shared" ca="1" si="324"/>
        <v/>
      </c>
      <c r="I217" s="99" t="str">
        <f t="shared" ca="1" si="325"/>
        <v/>
      </c>
      <c r="J217" s="100" t="str">
        <f t="shared" ca="1" si="326"/>
        <v/>
      </c>
      <c r="K217" s="100" t="str">
        <f t="shared" ca="1" si="327"/>
        <v/>
      </c>
      <c r="L217" s="101" t="str">
        <f t="shared" ca="1" si="328"/>
        <v/>
      </c>
      <c r="Q217" s="4">
        <f t="shared" si="269"/>
        <v>45321</v>
      </c>
      <c r="R217" s="24">
        <f t="shared" si="270"/>
        <v>0</v>
      </c>
      <c r="S217" s="25">
        <f t="shared" si="271"/>
        <v>0</v>
      </c>
      <c r="T217" s="24">
        <f t="shared" si="272"/>
        <v>0</v>
      </c>
      <c r="U217" s="25">
        <f t="shared" si="273"/>
        <v>0</v>
      </c>
      <c r="V217" s="24">
        <f t="shared" si="274"/>
        <v>0</v>
      </c>
      <c r="W217" s="25">
        <f t="shared" si="275"/>
        <v>0</v>
      </c>
      <c r="X217" s="24">
        <f t="shared" si="276"/>
        <v>0</v>
      </c>
      <c r="Y217" s="26">
        <f t="shared" si="277"/>
        <v>0</v>
      </c>
      <c r="Z217" s="27">
        <f t="shared" si="278"/>
        <v>0</v>
      </c>
      <c r="AA217" s="28">
        <f t="shared" si="279"/>
        <v>45321</v>
      </c>
      <c r="AB217" s="24">
        <f t="shared" si="280"/>
        <v>0</v>
      </c>
      <c r="AC217" s="25">
        <f t="shared" si="281"/>
        <v>0</v>
      </c>
      <c r="AD217" s="28">
        <f t="shared" si="282"/>
        <v>45321</v>
      </c>
      <c r="AE217" s="24">
        <f t="shared" si="283"/>
        <v>0</v>
      </c>
      <c r="AF217" s="25">
        <f t="shared" si="284"/>
        <v>0</v>
      </c>
      <c r="AG217" s="28">
        <f t="shared" si="285"/>
        <v>45321</v>
      </c>
      <c r="AH217" s="24">
        <f t="shared" si="286"/>
        <v>0</v>
      </c>
      <c r="AI217" s="25">
        <f t="shared" si="287"/>
        <v>0</v>
      </c>
      <c r="AJ217" s="28">
        <f t="shared" si="288"/>
        <v>45321</v>
      </c>
      <c r="AK217" s="24">
        <f t="shared" si="289"/>
        <v>0</v>
      </c>
      <c r="AL217" s="25">
        <f t="shared" si="290"/>
        <v>0</v>
      </c>
      <c r="AM217" s="29">
        <f t="shared" si="291"/>
        <v>0</v>
      </c>
      <c r="AN217" s="28">
        <f t="shared" si="292"/>
        <v>45321</v>
      </c>
      <c r="AO217" s="373">
        <f t="shared" si="261"/>
        <v>0</v>
      </c>
      <c r="AP217" s="374">
        <f t="shared" si="262"/>
        <v>0</v>
      </c>
      <c r="AQ217" s="27">
        <f t="shared" si="263"/>
        <v>0</v>
      </c>
      <c r="AR217" s="25">
        <f t="shared" si="264"/>
        <v>0</v>
      </c>
      <c r="AS217" s="25">
        <f t="shared" si="265"/>
        <v>0</v>
      </c>
      <c r="AT217" s="25">
        <f t="shared" si="266"/>
        <v>0</v>
      </c>
      <c r="AU217" s="29">
        <f t="shared" si="323"/>
        <v>0</v>
      </c>
      <c r="AV217" s="27">
        <f t="shared" si="293"/>
        <v>0</v>
      </c>
      <c r="AW217" s="27">
        <f t="shared" si="294"/>
        <v>0</v>
      </c>
      <c r="AX217" s="27">
        <f t="shared" si="295"/>
        <v>0</v>
      </c>
      <c r="AY217" s="27">
        <f t="shared" si="296"/>
        <v>0</v>
      </c>
      <c r="BH217" s="2">
        <f t="shared" si="297"/>
        <v>0</v>
      </c>
      <c r="BI217" s="298" t="str">
        <f t="shared" si="298"/>
        <v/>
      </c>
      <c r="BJ217" s="298" t="str">
        <f t="shared" si="267"/>
        <v/>
      </c>
      <c r="BQ217" s="4">
        <f t="shared" si="299"/>
        <v>45321</v>
      </c>
      <c r="BR217" s="112">
        <f t="shared" si="300"/>
        <v>0</v>
      </c>
      <c r="BS217" s="112">
        <f t="shared" si="301"/>
        <v>0</v>
      </c>
      <c r="BT217" s="112">
        <f t="shared" si="302"/>
        <v>0</v>
      </c>
      <c r="BU217" s="112">
        <f t="shared" si="303"/>
        <v>0</v>
      </c>
      <c r="BV217" s="112">
        <f t="shared" si="304"/>
        <v>0</v>
      </c>
      <c r="CI217" s="4">
        <f t="shared" si="305"/>
        <v>45321</v>
      </c>
      <c r="CJ217" s="50">
        <f ca="1">IF($BH217=0,IF($CO217="",CJ216+R217,IF('283'!$K$251=1,VLOOKUP($CO217,PerStBal,2)+R217,IF('283'!$K$253=1,(VLOOKUP($CO217,PerPortion,2)*VLOOKUP($CO217,PerStBal,6))+R217,GL!BS217))),0)</f>
        <v>0</v>
      </c>
      <c r="CK217" s="425">
        <f ca="1">IF($BH217=0,IF($CO217="",CK216+T217,IF('283'!$K$251=1,IF(mname2&lt;&gt;"",VLOOKUP($CO217,PerStBal,3)+T217,0),IF('283'!$K$253=1,(VLOOKUP($CO217,PerPortion,3)*VLOOKUP($CO217,PerStBal,6))+T217,GL!BT217))),0)</f>
        <v>0</v>
      </c>
      <c r="CL217" s="425">
        <f ca="1">IF($BH217=0,IF($CO217="",CL216+V217,IF('283'!$K$251=1,IF(mname3&lt;&gt;"",VLOOKUP($CO217,PerStBal,4)+V217,0),IF('283'!$K$253=1,(VLOOKUP($CO217,PerPortion,4)*VLOOKUP($CO217,PerStBal,6))+V217,GL!BU217))),0)</f>
        <v>0</v>
      </c>
      <c r="CM217" s="425">
        <f ca="1">IF($BH217=0,IF($CO217="",CM216+X217,IF('283'!$K$251=1,IF(mname4&lt;&gt;"",VLOOKUP($CO217,PerStBal,5)+X217,0),IF('283'!$K$253=1,(VLOOKUP($CO217,PerPortion,5)*VLOOKUP($CO217,PerStBal,6))+X217,GL!BV217))),0)</f>
        <v>0</v>
      </c>
      <c r="CN217" s="50">
        <f t="shared" ca="1" si="306"/>
        <v>0</v>
      </c>
      <c r="CO217" s="4" t="str">
        <f t="shared" ca="1" si="307"/>
        <v/>
      </c>
      <c r="CP217" s="377">
        <f t="shared" si="268"/>
        <v>0</v>
      </c>
      <c r="DI217" s="4">
        <f t="shared" si="308"/>
        <v>45321</v>
      </c>
      <c r="DJ217" s="112">
        <f t="shared" ca="1" si="309"/>
        <v>0</v>
      </c>
      <c r="DK217" s="112">
        <f t="shared" si="310"/>
        <v>0</v>
      </c>
      <c r="DL217" s="4">
        <f t="shared" si="311"/>
        <v>45321</v>
      </c>
      <c r="DM217" s="112">
        <f t="shared" ca="1" si="312"/>
        <v>0</v>
      </c>
      <c r="DN217" s="112">
        <f t="shared" si="313"/>
        <v>0</v>
      </c>
      <c r="DO217" s="4">
        <f t="shared" si="314"/>
        <v>45321</v>
      </c>
      <c r="DP217" s="112">
        <f t="shared" ca="1" si="315"/>
        <v>0</v>
      </c>
      <c r="DQ217" s="112">
        <f t="shared" si="316"/>
        <v>0</v>
      </c>
      <c r="DR217" s="4">
        <f t="shared" si="317"/>
        <v>45321</v>
      </c>
      <c r="DS217" s="112">
        <f t="shared" ca="1" si="318"/>
        <v>0</v>
      </c>
      <c r="DT217" s="112">
        <f t="shared" si="319"/>
        <v>0</v>
      </c>
      <c r="DU217" s="4">
        <f t="shared" si="320"/>
        <v>45321</v>
      </c>
      <c r="DV217" s="112">
        <f t="shared" si="321"/>
        <v>0</v>
      </c>
      <c r="DW217" s="112">
        <f t="shared" si="322"/>
        <v>0</v>
      </c>
    </row>
    <row r="218" spans="2:127" x14ac:dyDescent="0.25">
      <c r="C218" s="99" t="str">
        <f t="shared" ca="1" si="329"/>
        <v/>
      </c>
      <c r="D218" s="100" t="str">
        <f t="shared" ca="1" si="324"/>
        <v/>
      </c>
      <c r="E218" s="100" t="str">
        <f t="shared" ca="1" si="324"/>
        <v/>
      </c>
      <c r="F218" s="101" t="str">
        <f t="shared" ca="1" si="324"/>
        <v/>
      </c>
      <c r="I218" s="99" t="str">
        <f t="shared" ca="1" si="325"/>
        <v/>
      </c>
      <c r="J218" s="100" t="str">
        <f t="shared" ca="1" si="326"/>
        <v/>
      </c>
      <c r="K218" s="100" t="str">
        <f t="shared" ca="1" si="327"/>
        <v/>
      </c>
      <c r="L218" s="101" t="str">
        <f t="shared" ca="1" si="328"/>
        <v/>
      </c>
      <c r="Q218" s="4">
        <f t="shared" si="269"/>
        <v>45322</v>
      </c>
      <c r="R218" s="24">
        <f t="shared" si="270"/>
        <v>0</v>
      </c>
      <c r="S218" s="25">
        <f t="shared" si="271"/>
        <v>0</v>
      </c>
      <c r="T218" s="24">
        <f t="shared" si="272"/>
        <v>0</v>
      </c>
      <c r="U218" s="25">
        <f t="shared" si="273"/>
        <v>0</v>
      </c>
      <c r="V218" s="24">
        <f t="shared" si="274"/>
        <v>0</v>
      </c>
      <c r="W218" s="25">
        <f t="shared" si="275"/>
        <v>0</v>
      </c>
      <c r="X218" s="24">
        <f t="shared" si="276"/>
        <v>0</v>
      </c>
      <c r="Y218" s="26">
        <f t="shared" si="277"/>
        <v>0</v>
      </c>
      <c r="Z218" s="27">
        <f t="shared" si="278"/>
        <v>0</v>
      </c>
      <c r="AA218" s="28">
        <f t="shared" si="279"/>
        <v>45322</v>
      </c>
      <c r="AB218" s="24">
        <f t="shared" si="280"/>
        <v>0</v>
      </c>
      <c r="AC218" s="25">
        <f t="shared" si="281"/>
        <v>0</v>
      </c>
      <c r="AD218" s="28">
        <f t="shared" si="282"/>
        <v>45322</v>
      </c>
      <c r="AE218" s="24">
        <f t="shared" si="283"/>
        <v>0</v>
      </c>
      <c r="AF218" s="25">
        <f t="shared" si="284"/>
        <v>0</v>
      </c>
      <c r="AG218" s="28">
        <f t="shared" si="285"/>
        <v>45322</v>
      </c>
      <c r="AH218" s="24">
        <f t="shared" si="286"/>
        <v>0</v>
      </c>
      <c r="AI218" s="25">
        <f t="shared" si="287"/>
        <v>0</v>
      </c>
      <c r="AJ218" s="28">
        <f t="shared" si="288"/>
        <v>45322</v>
      </c>
      <c r="AK218" s="24">
        <f t="shared" si="289"/>
        <v>0</v>
      </c>
      <c r="AL218" s="25">
        <f t="shared" si="290"/>
        <v>0</v>
      </c>
      <c r="AM218" s="29">
        <f t="shared" si="291"/>
        <v>0</v>
      </c>
      <c r="AN218" s="28">
        <f t="shared" si="292"/>
        <v>45322</v>
      </c>
      <c r="AO218" s="373">
        <f t="shared" si="261"/>
        <v>0</v>
      </c>
      <c r="AP218" s="374">
        <f t="shared" si="262"/>
        <v>0</v>
      </c>
      <c r="AQ218" s="27">
        <f t="shared" si="263"/>
        <v>0</v>
      </c>
      <c r="AR218" s="25">
        <f t="shared" si="264"/>
        <v>0</v>
      </c>
      <c r="AS218" s="25">
        <f t="shared" si="265"/>
        <v>0</v>
      </c>
      <c r="AT218" s="25">
        <f t="shared" si="266"/>
        <v>0</v>
      </c>
      <c r="AU218" s="29">
        <f t="shared" si="323"/>
        <v>0</v>
      </c>
      <c r="AV218" s="27">
        <f t="shared" si="293"/>
        <v>0</v>
      </c>
      <c r="AW218" s="27">
        <f t="shared" si="294"/>
        <v>0</v>
      </c>
      <c r="AX218" s="27">
        <f t="shared" si="295"/>
        <v>0</v>
      </c>
      <c r="AY218" s="27">
        <f t="shared" si="296"/>
        <v>0</v>
      </c>
      <c r="BH218" s="2">
        <f t="shared" si="297"/>
        <v>0</v>
      </c>
      <c r="BI218" s="298" t="str">
        <f t="shared" si="298"/>
        <v/>
      </c>
      <c r="BJ218" s="298" t="str">
        <f t="shared" si="267"/>
        <v/>
      </c>
      <c r="BQ218" s="4">
        <f t="shared" si="299"/>
        <v>45322</v>
      </c>
      <c r="BR218" s="112">
        <f t="shared" si="300"/>
        <v>0</v>
      </c>
      <c r="BS218" s="112">
        <f t="shared" si="301"/>
        <v>0</v>
      </c>
      <c r="BT218" s="112">
        <f t="shared" si="302"/>
        <v>0</v>
      </c>
      <c r="BU218" s="112">
        <f t="shared" si="303"/>
        <v>0</v>
      </c>
      <c r="BV218" s="112">
        <f t="shared" si="304"/>
        <v>0</v>
      </c>
      <c r="CI218" s="4">
        <f t="shared" si="305"/>
        <v>45322</v>
      </c>
      <c r="CJ218" s="50">
        <f ca="1">IF($BH218=0,IF($CO218="",CJ217+R218,IF('283'!$K$251=1,VLOOKUP($CO218,PerStBal,2)+R218,IF('283'!$K$253=1,(VLOOKUP($CO218,PerPortion,2)*VLOOKUP($CO218,PerStBal,6))+R218,GL!BS218))),0)</f>
        <v>0</v>
      </c>
      <c r="CK218" s="425">
        <f ca="1">IF($BH218=0,IF($CO218="",CK217+T218,IF('283'!$K$251=1,IF(mname2&lt;&gt;"",VLOOKUP($CO218,PerStBal,3)+T218,0),IF('283'!$K$253=1,(VLOOKUP($CO218,PerPortion,3)*VLOOKUP($CO218,PerStBal,6))+T218,GL!BT218))),0)</f>
        <v>0</v>
      </c>
      <c r="CL218" s="425">
        <f ca="1">IF($BH218=0,IF($CO218="",CL217+V218,IF('283'!$K$251=1,IF(mname3&lt;&gt;"",VLOOKUP($CO218,PerStBal,4)+V218,0),IF('283'!$K$253=1,(VLOOKUP($CO218,PerPortion,4)*VLOOKUP($CO218,PerStBal,6))+V218,GL!BU218))),0)</f>
        <v>0</v>
      </c>
      <c r="CM218" s="425">
        <f ca="1">IF($BH218=0,IF($CO218="",CM217+X218,IF('283'!$K$251=1,IF(mname4&lt;&gt;"",VLOOKUP($CO218,PerStBal,5)+X218,0),IF('283'!$K$253=1,(VLOOKUP($CO218,PerPortion,5)*VLOOKUP($CO218,PerStBal,6))+X218,GL!BV218))),0)</f>
        <v>0</v>
      </c>
      <c r="CN218" s="50">
        <f t="shared" ca="1" si="306"/>
        <v>0</v>
      </c>
      <c r="CO218" s="4" t="str">
        <f t="shared" ca="1" si="307"/>
        <v/>
      </c>
      <c r="CP218" s="377">
        <f t="shared" si="268"/>
        <v>0</v>
      </c>
      <c r="DI218" s="4">
        <f t="shared" si="308"/>
        <v>45322</v>
      </c>
      <c r="DJ218" s="112">
        <f t="shared" ca="1" si="309"/>
        <v>0</v>
      </c>
      <c r="DK218" s="112">
        <f t="shared" si="310"/>
        <v>0</v>
      </c>
      <c r="DL218" s="4">
        <f t="shared" si="311"/>
        <v>45322</v>
      </c>
      <c r="DM218" s="112">
        <f t="shared" ca="1" si="312"/>
        <v>0</v>
      </c>
      <c r="DN218" s="112">
        <f t="shared" si="313"/>
        <v>0</v>
      </c>
      <c r="DO218" s="4">
        <f t="shared" si="314"/>
        <v>45322</v>
      </c>
      <c r="DP218" s="112">
        <f t="shared" ca="1" si="315"/>
        <v>0</v>
      </c>
      <c r="DQ218" s="112">
        <f t="shared" si="316"/>
        <v>0</v>
      </c>
      <c r="DR218" s="4">
        <f t="shared" si="317"/>
        <v>45322</v>
      </c>
      <c r="DS218" s="112">
        <f t="shared" ca="1" si="318"/>
        <v>0</v>
      </c>
      <c r="DT218" s="112">
        <f t="shared" si="319"/>
        <v>0</v>
      </c>
      <c r="DU218" s="4">
        <f t="shared" si="320"/>
        <v>45322</v>
      </c>
      <c r="DV218" s="112">
        <f t="shared" si="321"/>
        <v>0</v>
      </c>
      <c r="DW218" s="112">
        <f t="shared" si="322"/>
        <v>0</v>
      </c>
    </row>
    <row r="219" spans="2:127" x14ac:dyDescent="0.25">
      <c r="C219" s="99" t="str">
        <f t="shared" ca="1" si="329"/>
        <v/>
      </c>
      <c r="D219" s="100" t="str">
        <f t="shared" ca="1" si="324"/>
        <v/>
      </c>
      <c r="E219" s="100" t="str">
        <f t="shared" ca="1" si="324"/>
        <v/>
      </c>
      <c r="F219" s="101" t="str">
        <f t="shared" ca="1" si="324"/>
        <v/>
      </c>
      <c r="I219" s="99" t="str">
        <f t="shared" ca="1" si="325"/>
        <v/>
      </c>
      <c r="J219" s="100" t="str">
        <f t="shared" ca="1" si="326"/>
        <v/>
      </c>
      <c r="K219" s="100" t="str">
        <f t="shared" ca="1" si="327"/>
        <v/>
      </c>
      <c r="L219" s="101" t="str">
        <f t="shared" ca="1" si="328"/>
        <v/>
      </c>
      <c r="Q219" s="4">
        <f t="shared" si="269"/>
        <v>45323</v>
      </c>
      <c r="R219" s="24">
        <f t="shared" si="270"/>
        <v>0</v>
      </c>
      <c r="S219" s="25">
        <f t="shared" si="271"/>
        <v>0</v>
      </c>
      <c r="T219" s="24">
        <f t="shared" si="272"/>
        <v>0</v>
      </c>
      <c r="U219" s="25">
        <f t="shared" si="273"/>
        <v>0</v>
      </c>
      <c r="V219" s="24">
        <f t="shared" si="274"/>
        <v>0</v>
      </c>
      <c r="W219" s="25">
        <f t="shared" si="275"/>
        <v>0</v>
      </c>
      <c r="X219" s="24">
        <f t="shared" si="276"/>
        <v>0</v>
      </c>
      <c r="Y219" s="26">
        <f t="shared" si="277"/>
        <v>0</v>
      </c>
      <c r="Z219" s="27">
        <f t="shared" si="278"/>
        <v>0</v>
      </c>
      <c r="AA219" s="28">
        <f t="shared" si="279"/>
        <v>45323</v>
      </c>
      <c r="AB219" s="24">
        <f t="shared" si="280"/>
        <v>0</v>
      </c>
      <c r="AC219" s="25">
        <f t="shared" si="281"/>
        <v>0</v>
      </c>
      <c r="AD219" s="28">
        <f t="shared" si="282"/>
        <v>45323</v>
      </c>
      <c r="AE219" s="24">
        <f t="shared" si="283"/>
        <v>0</v>
      </c>
      <c r="AF219" s="25">
        <f t="shared" si="284"/>
        <v>0</v>
      </c>
      <c r="AG219" s="28">
        <f t="shared" si="285"/>
        <v>45323</v>
      </c>
      <c r="AH219" s="24">
        <f t="shared" si="286"/>
        <v>0</v>
      </c>
      <c r="AI219" s="25">
        <f t="shared" si="287"/>
        <v>0</v>
      </c>
      <c r="AJ219" s="28">
        <f t="shared" si="288"/>
        <v>45323</v>
      </c>
      <c r="AK219" s="24">
        <f t="shared" si="289"/>
        <v>0</v>
      </c>
      <c r="AL219" s="25">
        <f t="shared" si="290"/>
        <v>0</v>
      </c>
      <c r="AM219" s="29">
        <f t="shared" si="291"/>
        <v>0</v>
      </c>
      <c r="AN219" s="28">
        <f t="shared" si="292"/>
        <v>45323</v>
      </c>
      <c r="AO219" s="373">
        <f t="shared" si="261"/>
        <v>0</v>
      </c>
      <c r="AP219" s="374">
        <f t="shared" si="262"/>
        <v>0</v>
      </c>
      <c r="AQ219" s="27">
        <f t="shared" si="263"/>
        <v>0</v>
      </c>
      <c r="AR219" s="25">
        <f t="shared" si="264"/>
        <v>0</v>
      </c>
      <c r="AS219" s="25">
        <f t="shared" si="265"/>
        <v>0</v>
      </c>
      <c r="AT219" s="25">
        <f t="shared" si="266"/>
        <v>0</v>
      </c>
      <c r="AU219" s="29">
        <f t="shared" si="323"/>
        <v>0</v>
      </c>
      <c r="AV219" s="27">
        <f t="shared" si="293"/>
        <v>0</v>
      </c>
      <c r="AW219" s="27">
        <f t="shared" si="294"/>
        <v>0</v>
      </c>
      <c r="AX219" s="27">
        <f t="shared" si="295"/>
        <v>0</v>
      </c>
      <c r="AY219" s="27">
        <f t="shared" si="296"/>
        <v>0</v>
      </c>
      <c r="BH219" s="2">
        <f t="shared" si="297"/>
        <v>0</v>
      </c>
      <c r="BI219" s="298" t="str">
        <f t="shared" si="298"/>
        <v/>
      </c>
      <c r="BJ219" s="298" t="str">
        <f t="shared" si="267"/>
        <v/>
      </c>
      <c r="BQ219" s="4">
        <f t="shared" si="299"/>
        <v>45323</v>
      </c>
      <c r="BR219" s="112">
        <f t="shared" si="300"/>
        <v>0</v>
      </c>
      <c r="BS219" s="112">
        <f t="shared" si="301"/>
        <v>0</v>
      </c>
      <c r="BT219" s="112">
        <f t="shared" si="302"/>
        <v>0</v>
      </c>
      <c r="BU219" s="112">
        <f t="shared" si="303"/>
        <v>0</v>
      </c>
      <c r="BV219" s="112">
        <f t="shared" si="304"/>
        <v>0</v>
      </c>
      <c r="CI219" s="4">
        <f t="shared" si="305"/>
        <v>45323</v>
      </c>
      <c r="CJ219" s="50">
        <f ca="1">IF($BH219=0,IF($CO219="",CJ218+R219,IF('283'!$K$251=1,VLOOKUP($CO219,PerStBal,2)+R219,IF('283'!$K$253=1,(VLOOKUP($CO219,PerPortion,2)*VLOOKUP($CO219,PerStBal,6))+R219,GL!BS219))),0)</f>
        <v>0</v>
      </c>
      <c r="CK219" s="425">
        <f ca="1">IF($BH219=0,IF($CO219="",CK218+T219,IF('283'!$K$251=1,IF(mname2&lt;&gt;"",VLOOKUP($CO219,PerStBal,3)+T219,0),IF('283'!$K$253=1,(VLOOKUP($CO219,PerPortion,3)*VLOOKUP($CO219,PerStBal,6))+T219,GL!BT219))),0)</f>
        <v>0</v>
      </c>
      <c r="CL219" s="425">
        <f ca="1">IF($BH219=0,IF($CO219="",CL218+V219,IF('283'!$K$251=1,IF(mname3&lt;&gt;"",VLOOKUP($CO219,PerStBal,4)+V219,0),IF('283'!$K$253=1,(VLOOKUP($CO219,PerPortion,4)*VLOOKUP($CO219,PerStBal,6))+V219,GL!BU219))),0)</f>
        <v>0</v>
      </c>
      <c r="CM219" s="425">
        <f ca="1">IF($BH219=0,IF($CO219="",CM218+X219,IF('283'!$K$251=1,IF(mname4&lt;&gt;"",VLOOKUP($CO219,PerStBal,5)+X219,0),IF('283'!$K$253=1,(VLOOKUP($CO219,PerPortion,5)*VLOOKUP($CO219,PerStBal,6))+X219,GL!BV219))),0)</f>
        <v>0</v>
      </c>
      <c r="CN219" s="50">
        <f t="shared" ca="1" si="306"/>
        <v>0</v>
      </c>
      <c r="CO219" s="4" t="str">
        <f t="shared" ca="1" si="307"/>
        <v/>
      </c>
      <c r="CP219" s="377">
        <f t="shared" si="268"/>
        <v>0</v>
      </c>
      <c r="DI219" s="4">
        <f t="shared" si="308"/>
        <v>45323</v>
      </c>
      <c r="DJ219" s="112">
        <f t="shared" ca="1" si="309"/>
        <v>0</v>
      </c>
      <c r="DK219" s="112">
        <f t="shared" si="310"/>
        <v>0</v>
      </c>
      <c r="DL219" s="4">
        <f t="shared" si="311"/>
        <v>45323</v>
      </c>
      <c r="DM219" s="112">
        <f t="shared" ca="1" si="312"/>
        <v>0</v>
      </c>
      <c r="DN219" s="112">
        <f t="shared" si="313"/>
        <v>0</v>
      </c>
      <c r="DO219" s="4">
        <f t="shared" si="314"/>
        <v>45323</v>
      </c>
      <c r="DP219" s="112">
        <f t="shared" ca="1" si="315"/>
        <v>0</v>
      </c>
      <c r="DQ219" s="112">
        <f t="shared" si="316"/>
        <v>0</v>
      </c>
      <c r="DR219" s="4">
        <f t="shared" si="317"/>
        <v>45323</v>
      </c>
      <c r="DS219" s="112">
        <f t="shared" ca="1" si="318"/>
        <v>0</v>
      </c>
      <c r="DT219" s="112">
        <f t="shared" si="319"/>
        <v>0</v>
      </c>
      <c r="DU219" s="4">
        <f t="shared" si="320"/>
        <v>45323</v>
      </c>
      <c r="DV219" s="112">
        <f t="shared" si="321"/>
        <v>0</v>
      </c>
      <c r="DW219" s="112">
        <f t="shared" si="322"/>
        <v>0</v>
      </c>
    </row>
    <row r="220" spans="2:127" x14ac:dyDescent="0.25">
      <c r="C220" s="99" t="str">
        <f t="shared" ca="1" si="329"/>
        <v/>
      </c>
      <c r="D220" s="100" t="str">
        <f t="shared" ca="1" si="324"/>
        <v/>
      </c>
      <c r="E220" s="100" t="str">
        <f t="shared" ca="1" si="324"/>
        <v/>
      </c>
      <c r="F220" s="101" t="str">
        <f t="shared" ca="1" si="324"/>
        <v/>
      </c>
      <c r="I220" s="99" t="str">
        <f t="shared" ca="1" si="325"/>
        <v/>
      </c>
      <c r="J220" s="100" t="str">
        <f t="shared" ca="1" si="326"/>
        <v/>
      </c>
      <c r="K220" s="100" t="str">
        <f t="shared" ca="1" si="327"/>
        <v/>
      </c>
      <c r="L220" s="101" t="str">
        <f t="shared" ca="1" si="328"/>
        <v/>
      </c>
      <c r="Q220" s="4">
        <f t="shared" si="269"/>
        <v>45324</v>
      </c>
      <c r="R220" s="24">
        <f t="shared" si="270"/>
        <v>0</v>
      </c>
      <c r="S220" s="25">
        <f t="shared" si="271"/>
        <v>0</v>
      </c>
      <c r="T220" s="24">
        <f t="shared" si="272"/>
        <v>0</v>
      </c>
      <c r="U220" s="25">
        <f t="shared" si="273"/>
        <v>0</v>
      </c>
      <c r="V220" s="24">
        <f t="shared" si="274"/>
        <v>0</v>
      </c>
      <c r="W220" s="25">
        <f t="shared" si="275"/>
        <v>0</v>
      </c>
      <c r="X220" s="24">
        <f t="shared" si="276"/>
        <v>0</v>
      </c>
      <c r="Y220" s="26">
        <f t="shared" si="277"/>
        <v>0</v>
      </c>
      <c r="Z220" s="27">
        <f t="shared" si="278"/>
        <v>0</v>
      </c>
      <c r="AA220" s="28">
        <f t="shared" si="279"/>
        <v>45324</v>
      </c>
      <c r="AB220" s="24">
        <f t="shared" si="280"/>
        <v>0</v>
      </c>
      <c r="AC220" s="25">
        <f t="shared" si="281"/>
        <v>0</v>
      </c>
      <c r="AD220" s="28">
        <f t="shared" si="282"/>
        <v>45324</v>
      </c>
      <c r="AE220" s="24">
        <f t="shared" si="283"/>
        <v>0</v>
      </c>
      <c r="AF220" s="25">
        <f t="shared" si="284"/>
        <v>0</v>
      </c>
      <c r="AG220" s="28">
        <f t="shared" si="285"/>
        <v>45324</v>
      </c>
      <c r="AH220" s="24">
        <f t="shared" si="286"/>
        <v>0</v>
      </c>
      <c r="AI220" s="25">
        <f t="shared" si="287"/>
        <v>0</v>
      </c>
      <c r="AJ220" s="28">
        <f t="shared" si="288"/>
        <v>45324</v>
      </c>
      <c r="AK220" s="24">
        <f t="shared" si="289"/>
        <v>0</v>
      </c>
      <c r="AL220" s="25">
        <f t="shared" si="290"/>
        <v>0</v>
      </c>
      <c r="AM220" s="29">
        <f t="shared" si="291"/>
        <v>0</v>
      </c>
      <c r="AN220" s="28">
        <f t="shared" si="292"/>
        <v>45324</v>
      </c>
      <c r="AO220" s="373">
        <f t="shared" si="261"/>
        <v>0</v>
      </c>
      <c r="AP220" s="374">
        <f t="shared" si="262"/>
        <v>0</v>
      </c>
      <c r="AQ220" s="27">
        <f t="shared" si="263"/>
        <v>0</v>
      </c>
      <c r="AR220" s="25">
        <f t="shared" si="264"/>
        <v>0</v>
      </c>
      <c r="AS220" s="25">
        <f t="shared" si="265"/>
        <v>0</v>
      </c>
      <c r="AT220" s="25">
        <f t="shared" si="266"/>
        <v>0</v>
      </c>
      <c r="AU220" s="29">
        <f t="shared" si="323"/>
        <v>0</v>
      </c>
      <c r="AV220" s="27">
        <f t="shared" si="293"/>
        <v>0</v>
      </c>
      <c r="AW220" s="27">
        <f t="shared" si="294"/>
        <v>0</v>
      </c>
      <c r="AX220" s="27">
        <f t="shared" si="295"/>
        <v>0</v>
      </c>
      <c r="AY220" s="27">
        <f t="shared" si="296"/>
        <v>0</v>
      </c>
      <c r="BH220" s="2">
        <f t="shared" si="297"/>
        <v>0</v>
      </c>
      <c r="BI220" s="298" t="str">
        <f t="shared" si="298"/>
        <v/>
      </c>
      <c r="BJ220" s="298" t="str">
        <f t="shared" si="267"/>
        <v/>
      </c>
      <c r="BQ220" s="4">
        <f t="shared" si="299"/>
        <v>45324</v>
      </c>
      <c r="BR220" s="112">
        <f t="shared" si="300"/>
        <v>0</v>
      </c>
      <c r="BS220" s="112">
        <f t="shared" si="301"/>
        <v>0</v>
      </c>
      <c r="BT220" s="112">
        <f t="shared" si="302"/>
        <v>0</v>
      </c>
      <c r="BU220" s="112">
        <f t="shared" si="303"/>
        <v>0</v>
      </c>
      <c r="BV220" s="112">
        <f t="shared" si="304"/>
        <v>0</v>
      </c>
      <c r="CI220" s="4">
        <f t="shared" si="305"/>
        <v>45324</v>
      </c>
      <c r="CJ220" s="50">
        <f ca="1">IF($BH220=0,IF($CO220="",CJ219+R220,IF('283'!$K$251=1,VLOOKUP($CO220,PerStBal,2)+R220,IF('283'!$K$253=1,(VLOOKUP($CO220,PerPortion,2)*VLOOKUP($CO220,PerStBal,6))+R220,GL!BS220))),0)</f>
        <v>0</v>
      </c>
      <c r="CK220" s="425">
        <f ca="1">IF($BH220=0,IF($CO220="",CK219+T220,IF('283'!$K$251=1,IF(mname2&lt;&gt;"",VLOOKUP($CO220,PerStBal,3)+T220,0),IF('283'!$K$253=1,(VLOOKUP($CO220,PerPortion,3)*VLOOKUP($CO220,PerStBal,6))+T220,GL!BT220))),0)</f>
        <v>0</v>
      </c>
      <c r="CL220" s="425">
        <f ca="1">IF($BH220=0,IF($CO220="",CL219+V220,IF('283'!$K$251=1,IF(mname3&lt;&gt;"",VLOOKUP($CO220,PerStBal,4)+V220,0),IF('283'!$K$253=1,(VLOOKUP($CO220,PerPortion,4)*VLOOKUP($CO220,PerStBal,6))+V220,GL!BU220))),0)</f>
        <v>0</v>
      </c>
      <c r="CM220" s="425">
        <f ca="1">IF($BH220=0,IF($CO220="",CM219+X220,IF('283'!$K$251=1,IF(mname4&lt;&gt;"",VLOOKUP($CO220,PerStBal,5)+X220,0),IF('283'!$K$253=1,(VLOOKUP($CO220,PerPortion,5)*VLOOKUP($CO220,PerStBal,6))+X220,GL!BV220))),0)</f>
        <v>0</v>
      </c>
      <c r="CN220" s="50">
        <f t="shared" ca="1" si="306"/>
        <v>0</v>
      </c>
      <c r="CO220" s="4" t="str">
        <f t="shared" ca="1" si="307"/>
        <v/>
      </c>
      <c r="CP220" s="377">
        <f t="shared" si="268"/>
        <v>0</v>
      </c>
      <c r="DI220" s="4">
        <f t="shared" si="308"/>
        <v>45324</v>
      </c>
      <c r="DJ220" s="112">
        <f t="shared" ca="1" si="309"/>
        <v>0</v>
      </c>
      <c r="DK220" s="112">
        <f t="shared" si="310"/>
        <v>0</v>
      </c>
      <c r="DL220" s="4">
        <f t="shared" si="311"/>
        <v>45324</v>
      </c>
      <c r="DM220" s="112">
        <f t="shared" ca="1" si="312"/>
        <v>0</v>
      </c>
      <c r="DN220" s="112">
        <f t="shared" si="313"/>
        <v>0</v>
      </c>
      <c r="DO220" s="4">
        <f t="shared" si="314"/>
        <v>45324</v>
      </c>
      <c r="DP220" s="112">
        <f t="shared" ca="1" si="315"/>
        <v>0</v>
      </c>
      <c r="DQ220" s="112">
        <f t="shared" si="316"/>
        <v>0</v>
      </c>
      <c r="DR220" s="4">
        <f t="shared" si="317"/>
        <v>45324</v>
      </c>
      <c r="DS220" s="112">
        <f t="shared" ca="1" si="318"/>
        <v>0</v>
      </c>
      <c r="DT220" s="112">
        <f t="shared" si="319"/>
        <v>0</v>
      </c>
      <c r="DU220" s="4">
        <f t="shared" si="320"/>
        <v>45324</v>
      </c>
      <c r="DV220" s="112">
        <f t="shared" si="321"/>
        <v>0</v>
      </c>
      <c r="DW220" s="112">
        <f t="shared" si="322"/>
        <v>0</v>
      </c>
    </row>
    <row r="221" spans="2:127" x14ac:dyDescent="0.25">
      <c r="B221" s="2" t="s">
        <v>128</v>
      </c>
      <c r="C221" s="96" t="str">
        <f t="shared" ref="C221:F230" ca="1" si="330">IF(AND(D85&lt;&gt;"",D85&lt;0),$C85,"")</f>
        <v/>
      </c>
      <c r="D221" s="97" t="str">
        <f t="shared" ca="1" si="330"/>
        <v/>
      </c>
      <c r="E221" s="97" t="str">
        <f t="shared" ca="1" si="330"/>
        <v/>
      </c>
      <c r="F221" s="98" t="str">
        <f t="shared" ca="1" si="330"/>
        <v/>
      </c>
      <c r="I221" s="96" t="str">
        <f t="shared" ref="I221:I230" ca="1" si="331">IF(AND(K85&lt;&gt;"",K85&lt;0),$J85,"")</f>
        <v/>
      </c>
      <c r="J221" s="97" t="str">
        <f t="shared" ref="J221:J230" ca="1" si="332">IF(AND(L85&lt;&gt;"",L85&lt;0),$J85,"")</f>
        <v/>
      </c>
      <c r="K221" s="97" t="str">
        <f t="shared" ref="K221:K230" ca="1" si="333">IF(AND(M85&lt;&gt;"",M85&lt;0),$J85,"")</f>
        <v/>
      </c>
      <c r="L221" s="98" t="str">
        <f t="shared" ref="L221:L230" ca="1" si="334">IF(AND(N85&lt;&gt;"",N85&lt;0),$J85,"")</f>
        <v/>
      </c>
      <c r="Q221" s="4">
        <f t="shared" si="269"/>
        <v>45325</v>
      </c>
      <c r="R221" s="24">
        <f t="shared" si="270"/>
        <v>0</v>
      </c>
      <c r="S221" s="25">
        <f t="shared" si="271"/>
        <v>0</v>
      </c>
      <c r="T221" s="24">
        <f t="shared" si="272"/>
        <v>0</v>
      </c>
      <c r="U221" s="25">
        <f t="shared" si="273"/>
        <v>0</v>
      </c>
      <c r="V221" s="24">
        <f t="shared" si="274"/>
        <v>0</v>
      </c>
      <c r="W221" s="25">
        <f t="shared" si="275"/>
        <v>0</v>
      </c>
      <c r="X221" s="24">
        <f t="shared" si="276"/>
        <v>0</v>
      </c>
      <c r="Y221" s="26">
        <f t="shared" si="277"/>
        <v>0</v>
      </c>
      <c r="Z221" s="27">
        <f t="shared" si="278"/>
        <v>0</v>
      </c>
      <c r="AA221" s="28">
        <f t="shared" si="279"/>
        <v>45325</v>
      </c>
      <c r="AB221" s="24">
        <f t="shared" si="280"/>
        <v>0</v>
      </c>
      <c r="AC221" s="25">
        <f t="shared" si="281"/>
        <v>0</v>
      </c>
      <c r="AD221" s="28">
        <f t="shared" si="282"/>
        <v>45325</v>
      </c>
      <c r="AE221" s="24">
        <f t="shared" si="283"/>
        <v>0</v>
      </c>
      <c r="AF221" s="25">
        <f t="shared" si="284"/>
        <v>0</v>
      </c>
      <c r="AG221" s="28">
        <f t="shared" si="285"/>
        <v>45325</v>
      </c>
      <c r="AH221" s="24">
        <f t="shared" si="286"/>
        <v>0</v>
      </c>
      <c r="AI221" s="25">
        <f t="shared" si="287"/>
        <v>0</v>
      </c>
      <c r="AJ221" s="28">
        <f t="shared" si="288"/>
        <v>45325</v>
      </c>
      <c r="AK221" s="24">
        <f t="shared" si="289"/>
        <v>0</v>
      </c>
      <c r="AL221" s="25">
        <f t="shared" si="290"/>
        <v>0</v>
      </c>
      <c r="AM221" s="29">
        <f t="shared" si="291"/>
        <v>0</v>
      </c>
      <c r="AN221" s="28">
        <f t="shared" si="292"/>
        <v>45325</v>
      </c>
      <c r="AO221" s="373">
        <f t="shared" si="261"/>
        <v>0</v>
      </c>
      <c r="AP221" s="374">
        <f t="shared" si="262"/>
        <v>0</v>
      </c>
      <c r="AQ221" s="27">
        <f t="shared" si="263"/>
        <v>0</v>
      </c>
      <c r="AR221" s="25">
        <f t="shared" si="264"/>
        <v>0</v>
      </c>
      <c r="AS221" s="25">
        <f t="shared" si="265"/>
        <v>0</v>
      </c>
      <c r="AT221" s="25">
        <f t="shared" si="266"/>
        <v>0</v>
      </c>
      <c r="AU221" s="29">
        <f t="shared" si="323"/>
        <v>0</v>
      </c>
      <c r="AV221" s="27">
        <f t="shared" si="293"/>
        <v>0</v>
      </c>
      <c r="AW221" s="27">
        <f t="shared" si="294"/>
        <v>0</v>
      </c>
      <c r="AX221" s="27">
        <f t="shared" si="295"/>
        <v>0</v>
      </c>
      <c r="AY221" s="27">
        <f t="shared" si="296"/>
        <v>0</v>
      </c>
      <c r="BH221" s="2">
        <f t="shared" si="297"/>
        <v>0</v>
      </c>
      <c r="BI221" s="298" t="str">
        <f t="shared" si="298"/>
        <v/>
      </c>
      <c r="BJ221" s="298" t="str">
        <f t="shared" si="267"/>
        <v/>
      </c>
      <c r="BQ221" s="4">
        <f t="shared" si="299"/>
        <v>45325</v>
      </c>
      <c r="BR221" s="112">
        <f t="shared" si="300"/>
        <v>0</v>
      </c>
      <c r="BS221" s="112">
        <f t="shared" si="301"/>
        <v>0</v>
      </c>
      <c r="BT221" s="112">
        <f t="shared" si="302"/>
        <v>0</v>
      </c>
      <c r="BU221" s="112">
        <f t="shared" si="303"/>
        <v>0</v>
      </c>
      <c r="BV221" s="112">
        <f t="shared" si="304"/>
        <v>0</v>
      </c>
      <c r="CI221" s="4">
        <f t="shared" si="305"/>
        <v>45325</v>
      </c>
      <c r="CJ221" s="50">
        <f ca="1">IF($BH221=0,IF($CO221="",CJ220+R221,IF('283'!$K$251=1,VLOOKUP($CO221,PerStBal,2)+R221,IF('283'!$K$253=1,(VLOOKUP($CO221,PerPortion,2)*VLOOKUP($CO221,PerStBal,6))+R221,GL!BS221))),0)</f>
        <v>0</v>
      </c>
      <c r="CK221" s="425">
        <f ca="1">IF($BH221=0,IF($CO221="",CK220+T221,IF('283'!$K$251=1,IF(mname2&lt;&gt;"",VLOOKUP($CO221,PerStBal,3)+T221,0),IF('283'!$K$253=1,(VLOOKUP($CO221,PerPortion,3)*VLOOKUP($CO221,PerStBal,6))+T221,GL!BT221))),0)</f>
        <v>0</v>
      </c>
      <c r="CL221" s="425">
        <f ca="1">IF($BH221=0,IF($CO221="",CL220+V221,IF('283'!$K$251=1,IF(mname3&lt;&gt;"",VLOOKUP($CO221,PerStBal,4)+V221,0),IF('283'!$K$253=1,(VLOOKUP($CO221,PerPortion,4)*VLOOKUP($CO221,PerStBal,6))+V221,GL!BU221))),0)</f>
        <v>0</v>
      </c>
      <c r="CM221" s="425">
        <f ca="1">IF($BH221=0,IF($CO221="",CM220+X221,IF('283'!$K$251=1,IF(mname4&lt;&gt;"",VLOOKUP($CO221,PerStBal,5)+X221,0),IF('283'!$K$253=1,(VLOOKUP($CO221,PerPortion,5)*VLOOKUP($CO221,PerStBal,6))+X221,GL!BV221))),0)</f>
        <v>0</v>
      </c>
      <c r="CN221" s="50">
        <f t="shared" ca="1" si="306"/>
        <v>0</v>
      </c>
      <c r="CO221" s="4" t="str">
        <f t="shared" ca="1" si="307"/>
        <v/>
      </c>
      <c r="CP221" s="377">
        <f t="shared" si="268"/>
        <v>0</v>
      </c>
      <c r="DI221" s="4">
        <f t="shared" si="308"/>
        <v>45325</v>
      </c>
      <c r="DJ221" s="112">
        <f t="shared" ca="1" si="309"/>
        <v>0</v>
      </c>
      <c r="DK221" s="112">
        <f t="shared" si="310"/>
        <v>0</v>
      </c>
      <c r="DL221" s="4">
        <f t="shared" si="311"/>
        <v>45325</v>
      </c>
      <c r="DM221" s="112">
        <f t="shared" ca="1" si="312"/>
        <v>0</v>
      </c>
      <c r="DN221" s="112">
        <f t="shared" si="313"/>
        <v>0</v>
      </c>
      <c r="DO221" s="4">
        <f t="shared" si="314"/>
        <v>45325</v>
      </c>
      <c r="DP221" s="112">
        <f t="shared" ca="1" si="315"/>
        <v>0</v>
      </c>
      <c r="DQ221" s="112">
        <f t="shared" si="316"/>
        <v>0</v>
      </c>
      <c r="DR221" s="4">
        <f t="shared" si="317"/>
        <v>45325</v>
      </c>
      <c r="DS221" s="112">
        <f t="shared" ca="1" si="318"/>
        <v>0</v>
      </c>
      <c r="DT221" s="112">
        <f t="shared" si="319"/>
        <v>0</v>
      </c>
      <c r="DU221" s="4">
        <f t="shared" si="320"/>
        <v>45325</v>
      </c>
      <c r="DV221" s="112">
        <f t="shared" si="321"/>
        <v>0</v>
      </c>
      <c r="DW221" s="112">
        <f t="shared" si="322"/>
        <v>0</v>
      </c>
    </row>
    <row r="222" spans="2:127" x14ac:dyDescent="0.25">
      <c r="C222" s="99" t="str">
        <f t="shared" ca="1" si="330"/>
        <v/>
      </c>
      <c r="D222" s="100" t="str">
        <f t="shared" ca="1" si="330"/>
        <v/>
      </c>
      <c r="E222" s="100" t="str">
        <f t="shared" ca="1" si="330"/>
        <v/>
      </c>
      <c r="F222" s="101" t="str">
        <f t="shared" ca="1" si="330"/>
        <v/>
      </c>
      <c r="I222" s="99" t="str">
        <f t="shared" ca="1" si="331"/>
        <v/>
      </c>
      <c r="J222" s="100" t="str">
        <f t="shared" ca="1" si="332"/>
        <v/>
      </c>
      <c r="K222" s="100" t="str">
        <f t="shared" ca="1" si="333"/>
        <v/>
      </c>
      <c r="L222" s="101" t="str">
        <f t="shared" ca="1" si="334"/>
        <v/>
      </c>
      <c r="Q222" s="4">
        <f t="shared" si="269"/>
        <v>45326</v>
      </c>
      <c r="R222" s="24">
        <f t="shared" si="270"/>
        <v>0</v>
      </c>
      <c r="S222" s="25">
        <f t="shared" si="271"/>
        <v>0</v>
      </c>
      <c r="T222" s="24">
        <f t="shared" si="272"/>
        <v>0</v>
      </c>
      <c r="U222" s="25">
        <f t="shared" si="273"/>
        <v>0</v>
      </c>
      <c r="V222" s="24">
        <f t="shared" si="274"/>
        <v>0</v>
      </c>
      <c r="W222" s="25">
        <f t="shared" si="275"/>
        <v>0</v>
      </c>
      <c r="X222" s="24">
        <f t="shared" si="276"/>
        <v>0</v>
      </c>
      <c r="Y222" s="26">
        <f t="shared" si="277"/>
        <v>0</v>
      </c>
      <c r="Z222" s="27">
        <f t="shared" si="278"/>
        <v>0</v>
      </c>
      <c r="AA222" s="28">
        <f t="shared" si="279"/>
        <v>45326</v>
      </c>
      <c r="AB222" s="24">
        <f t="shared" si="280"/>
        <v>0</v>
      </c>
      <c r="AC222" s="25">
        <f t="shared" si="281"/>
        <v>0</v>
      </c>
      <c r="AD222" s="28">
        <f t="shared" si="282"/>
        <v>45326</v>
      </c>
      <c r="AE222" s="24">
        <f t="shared" si="283"/>
        <v>0</v>
      </c>
      <c r="AF222" s="25">
        <f t="shared" si="284"/>
        <v>0</v>
      </c>
      <c r="AG222" s="28">
        <f t="shared" si="285"/>
        <v>45326</v>
      </c>
      <c r="AH222" s="24">
        <f t="shared" si="286"/>
        <v>0</v>
      </c>
      <c r="AI222" s="25">
        <f t="shared" si="287"/>
        <v>0</v>
      </c>
      <c r="AJ222" s="28">
        <f t="shared" si="288"/>
        <v>45326</v>
      </c>
      <c r="AK222" s="24">
        <f t="shared" si="289"/>
        <v>0</v>
      </c>
      <c r="AL222" s="25">
        <f t="shared" si="290"/>
        <v>0</v>
      </c>
      <c r="AM222" s="29">
        <f t="shared" si="291"/>
        <v>0</v>
      </c>
      <c r="AN222" s="28">
        <f t="shared" si="292"/>
        <v>45326</v>
      </c>
      <c r="AO222" s="373">
        <f t="shared" si="261"/>
        <v>0</v>
      </c>
      <c r="AP222" s="374">
        <f t="shared" si="262"/>
        <v>0</v>
      </c>
      <c r="AQ222" s="27">
        <f t="shared" si="263"/>
        <v>0</v>
      </c>
      <c r="AR222" s="25">
        <f t="shared" si="264"/>
        <v>0</v>
      </c>
      <c r="AS222" s="25">
        <f t="shared" si="265"/>
        <v>0</v>
      </c>
      <c r="AT222" s="25">
        <f t="shared" si="266"/>
        <v>0</v>
      </c>
      <c r="AU222" s="29">
        <f t="shared" si="323"/>
        <v>0</v>
      </c>
      <c r="AV222" s="27">
        <f t="shared" si="293"/>
        <v>0</v>
      </c>
      <c r="AW222" s="27">
        <f t="shared" si="294"/>
        <v>0</v>
      </c>
      <c r="AX222" s="27">
        <f t="shared" si="295"/>
        <v>0</v>
      </c>
      <c r="AY222" s="27">
        <f t="shared" si="296"/>
        <v>0</v>
      </c>
      <c r="BH222" s="2">
        <f t="shared" si="297"/>
        <v>0</v>
      </c>
      <c r="BI222" s="298" t="str">
        <f t="shared" si="298"/>
        <v/>
      </c>
      <c r="BJ222" s="298" t="str">
        <f t="shared" si="267"/>
        <v/>
      </c>
      <c r="BQ222" s="4">
        <f t="shared" si="299"/>
        <v>45326</v>
      </c>
      <c r="BR222" s="112">
        <f t="shared" si="300"/>
        <v>0</v>
      </c>
      <c r="BS222" s="112">
        <f t="shared" si="301"/>
        <v>0</v>
      </c>
      <c r="BT222" s="112">
        <f t="shared" si="302"/>
        <v>0</v>
      </c>
      <c r="BU222" s="112">
        <f t="shared" si="303"/>
        <v>0</v>
      </c>
      <c r="BV222" s="112">
        <f t="shared" si="304"/>
        <v>0</v>
      </c>
      <c r="CI222" s="4">
        <f t="shared" si="305"/>
        <v>45326</v>
      </c>
      <c r="CJ222" s="50">
        <f ca="1">IF($BH222=0,IF($CO222="",CJ221+R222,IF('283'!$K$251=1,VLOOKUP($CO222,PerStBal,2)+R222,IF('283'!$K$253=1,(VLOOKUP($CO222,PerPortion,2)*VLOOKUP($CO222,PerStBal,6))+R222,GL!BS222))),0)</f>
        <v>0</v>
      </c>
      <c r="CK222" s="425">
        <f ca="1">IF($BH222=0,IF($CO222="",CK221+T222,IF('283'!$K$251=1,IF(mname2&lt;&gt;"",VLOOKUP($CO222,PerStBal,3)+T222,0),IF('283'!$K$253=1,(VLOOKUP($CO222,PerPortion,3)*VLOOKUP($CO222,PerStBal,6))+T222,GL!BT222))),0)</f>
        <v>0</v>
      </c>
      <c r="CL222" s="425">
        <f ca="1">IF($BH222=0,IF($CO222="",CL221+V222,IF('283'!$K$251=1,IF(mname3&lt;&gt;"",VLOOKUP($CO222,PerStBal,4)+V222,0),IF('283'!$K$253=1,(VLOOKUP($CO222,PerPortion,4)*VLOOKUP($CO222,PerStBal,6))+V222,GL!BU222))),0)</f>
        <v>0</v>
      </c>
      <c r="CM222" s="425">
        <f ca="1">IF($BH222=0,IF($CO222="",CM221+X222,IF('283'!$K$251=1,IF(mname4&lt;&gt;"",VLOOKUP($CO222,PerStBal,5)+X222,0),IF('283'!$K$253=1,(VLOOKUP($CO222,PerPortion,5)*VLOOKUP($CO222,PerStBal,6))+X222,GL!BV222))),0)</f>
        <v>0</v>
      </c>
      <c r="CN222" s="50">
        <f t="shared" ca="1" si="306"/>
        <v>0</v>
      </c>
      <c r="CO222" s="4" t="str">
        <f t="shared" ca="1" si="307"/>
        <v/>
      </c>
      <c r="CP222" s="377">
        <f t="shared" si="268"/>
        <v>0</v>
      </c>
      <c r="DI222" s="4">
        <f t="shared" si="308"/>
        <v>45326</v>
      </c>
      <c r="DJ222" s="112">
        <f t="shared" ca="1" si="309"/>
        <v>0</v>
      </c>
      <c r="DK222" s="112">
        <f t="shared" si="310"/>
        <v>0</v>
      </c>
      <c r="DL222" s="4">
        <f t="shared" si="311"/>
        <v>45326</v>
      </c>
      <c r="DM222" s="112">
        <f t="shared" ca="1" si="312"/>
        <v>0</v>
      </c>
      <c r="DN222" s="112">
        <f t="shared" si="313"/>
        <v>0</v>
      </c>
      <c r="DO222" s="4">
        <f t="shared" si="314"/>
        <v>45326</v>
      </c>
      <c r="DP222" s="112">
        <f t="shared" ca="1" si="315"/>
        <v>0</v>
      </c>
      <c r="DQ222" s="112">
        <f t="shared" si="316"/>
        <v>0</v>
      </c>
      <c r="DR222" s="4">
        <f t="shared" si="317"/>
        <v>45326</v>
      </c>
      <c r="DS222" s="112">
        <f t="shared" ca="1" si="318"/>
        <v>0</v>
      </c>
      <c r="DT222" s="112">
        <f t="shared" si="319"/>
        <v>0</v>
      </c>
      <c r="DU222" s="4">
        <f t="shared" si="320"/>
        <v>45326</v>
      </c>
      <c r="DV222" s="112">
        <f t="shared" si="321"/>
        <v>0</v>
      </c>
      <c r="DW222" s="112">
        <f t="shared" si="322"/>
        <v>0</v>
      </c>
    </row>
    <row r="223" spans="2:127" x14ac:dyDescent="0.25">
      <c r="C223" s="99" t="str">
        <f t="shared" ca="1" si="330"/>
        <v/>
      </c>
      <c r="D223" s="100" t="str">
        <f t="shared" ca="1" si="330"/>
        <v/>
      </c>
      <c r="E223" s="100" t="str">
        <f t="shared" ca="1" si="330"/>
        <v/>
      </c>
      <c r="F223" s="101" t="str">
        <f t="shared" ca="1" si="330"/>
        <v/>
      </c>
      <c r="I223" s="99" t="str">
        <f t="shared" ca="1" si="331"/>
        <v/>
      </c>
      <c r="J223" s="100" t="str">
        <f t="shared" ca="1" si="332"/>
        <v/>
      </c>
      <c r="K223" s="100" t="str">
        <f t="shared" ca="1" si="333"/>
        <v/>
      </c>
      <c r="L223" s="101" t="str">
        <f t="shared" ca="1" si="334"/>
        <v/>
      </c>
      <c r="Q223" s="4">
        <f t="shared" si="269"/>
        <v>45327</v>
      </c>
      <c r="R223" s="24">
        <f t="shared" si="270"/>
        <v>0</v>
      </c>
      <c r="S223" s="25">
        <f t="shared" si="271"/>
        <v>0</v>
      </c>
      <c r="T223" s="24">
        <f t="shared" si="272"/>
        <v>0</v>
      </c>
      <c r="U223" s="25">
        <f t="shared" si="273"/>
        <v>0</v>
      </c>
      <c r="V223" s="24">
        <f t="shared" si="274"/>
        <v>0</v>
      </c>
      <c r="W223" s="25">
        <f t="shared" si="275"/>
        <v>0</v>
      </c>
      <c r="X223" s="24">
        <f t="shared" si="276"/>
        <v>0</v>
      </c>
      <c r="Y223" s="26">
        <f t="shared" si="277"/>
        <v>0</v>
      </c>
      <c r="Z223" s="27">
        <f t="shared" si="278"/>
        <v>0</v>
      </c>
      <c r="AA223" s="28">
        <f t="shared" si="279"/>
        <v>45327</v>
      </c>
      <c r="AB223" s="24">
        <f t="shared" si="280"/>
        <v>0</v>
      </c>
      <c r="AC223" s="25">
        <f t="shared" si="281"/>
        <v>0</v>
      </c>
      <c r="AD223" s="28">
        <f t="shared" si="282"/>
        <v>45327</v>
      </c>
      <c r="AE223" s="24">
        <f t="shared" si="283"/>
        <v>0</v>
      </c>
      <c r="AF223" s="25">
        <f t="shared" si="284"/>
        <v>0</v>
      </c>
      <c r="AG223" s="28">
        <f t="shared" si="285"/>
        <v>45327</v>
      </c>
      <c r="AH223" s="24">
        <f t="shared" si="286"/>
        <v>0</v>
      </c>
      <c r="AI223" s="25">
        <f t="shared" si="287"/>
        <v>0</v>
      </c>
      <c r="AJ223" s="28">
        <f t="shared" si="288"/>
        <v>45327</v>
      </c>
      <c r="AK223" s="24">
        <f t="shared" si="289"/>
        <v>0</v>
      </c>
      <c r="AL223" s="25">
        <f t="shared" si="290"/>
        <v>0</v>
      </c>
      <c r="AM223" s="29">
        <f t="shared" si="291"/>
        <v>0</v>
      </c>
      <c r="AN223" s="28">
        <f t="shared" si="292"/>
        <v>45327</v>
      </c>
      <c r="AO223" s="373">
        <f t="shared" si="261"/>
        <v>0</v>
      </c>
      <c r="AP223" s="374">
        <f t="shared" si="262"/>
        <v>0</v>
      </c>
      <c r="AQ223" s="27">
        <f t="shared" si="263"/>
        <v>0</v>
      </c>
      <c r="AR223" s="25">
        <f t="shared" si="264"/>
        <v>0</v>
      </c>
      <c r="AS223" s="25">
        <f t="shared" si="265"/>
        <v>0</v>
      </c>
      <c r="AT223" s="25">
        <f t="shared" si="266"/>
        <v>0</v>
      </c>
      <c r="AU223" s="29">
        <f t="shared" si="323"/>
        <v>0</v>
      </c>
      <c r="AV223" s="27">
        <f t="shared" si="293"/>
        <v>0</v>
      </c>
      <c r="AW223" s="27">
        <f t="shared" si="294"/>
        <v>0</v>
      </c>
      <c r="AX223" s="27">
        <f t="shared" si="295"/>
        <v>0</v>
      </c>
      <c r="AY223" s="27">
        <f t="shared" si="296"/>
        <v>0</v>
      </c>
      <c r="BH223" s="2">
        <f t="shared" si="297"/>
        <v>0</v>
      </c>
      <c r="BI223" s="298" t="str">
        <f t="shared" si="298"/>
        <v/>
      </c>
      <c r="BJ223" s="298" t="str">
        <f t="shared" si="267"/>
        <v/>
      </c>
      <c r="BQ223" s="4">
        <f t="shared" si="299"/>
        <v>45327</v>
      </c>
      <c r="BR223" s="112">
        <f t="shared" si="300"/>
        <v>0</v>
      </c>
      <c r="BS223" s="112">
        <f t="shared" si="301"/>
        <v>0</v>
      </c>
      <c r="BT223" s="112">
        <f t="shared" si="302"/>
        <v>0</v>
      </c>
      <c r="BU223" s="112">
        <f t="shared" si="303"/>
        <v>0</v>
      </c>
      <c r="BV223" s="112">
        <f t="shared" si="304"/>
        <v>0</v>
      </c>
      <c r="CI223" s="4">
        <f t="shared" si="305"/>
        <v>45327</v>
      </c>
      <c r="CJ223" s="50">
        <f ca="1">IF($BH223=0,IF($CO223="",CJ222+R223,IF('283'!$K$251=1,VLOOKUP($CO223,PerStBal,2)+R223,IF('283'!$K$253=1,(VLOOKUP($CO223,PerPortion,2)*VLOOKUP($CO223,PerStBal,6))+R223,GL!BS223))),0)</f>
        <v>0</v>
      </c>
      <c r="CK223" s="425">
        <f ca="1">IF($BH223=0,IF($CO223="",CK222+T223,IF('283'!$K$251=1,IF(mname2&lt;&gt;"",VLOOKUP($CO223,PerStBal,3)+T223,0),IF('283'!$K$253=1,(VLOOKUP($CO223,PerPortion,3)*VLOOKUP($CO223,PerStBal,6))+T223,GL!BT223))),0)</f>
        <v>0</v>
      </c>
      <c r="CL223" s="425">
        <f ca="1">IF($BH223=0,IF($CO223="",CL222+V223,IF('283'!$K$251=1,IF(mname3&lt;&gt;"",VLOOKUP($CO223,PerStBal,4)+V223,0),IF('283'!$K$253=1,(VLOOKUP($CO223,PerPortion,4)*VLOOKUP($CO223,PerStBal,6))+V223,GL!BU223))),0)</f>
        <v>0</v>
      </c>
      <c r="CM223" s="425">
        <f ca="1">IF($BH223=0,IF($CO223="",CM222+X223,IF('283'!$K$251=1,IF(mname4&lt;&gt;"",VLOOKUP($CO223,PerStBal,5)+X223,0),IF('283'!$K$253=1,(VLOOKUP($CO223,PerPortion,5)*VLOOKUP($CO223,PerStBal,6))+X223,GL!BV223))),0)</f>
        <v>0</v>
      </c>
      <c r="CN223" s="50">
        <f t="shared" ca="1" si="306"/>
        <v>0</v>
      </c>
      <c r="CO223" s="4" t="str">
        <f t="shared" ca="1" si="307"/>
        <v/>
      </c>
      <c r="CP223" s="377">
        <f t="shared" si="268"/>
        <v>0</v>
      </c>
      <c r="DI223" s="4">
        <f t="shared" si="308"/>
        <v>45327</v>
      </c>
      <c r="DJ223" s="112">
        <f t="shared" ca="1" si="309"/>
        <v>0</v>
      </c>
      <c r="DK223" s="112">
        <f t="shared" si="310"/>
        <v>0</v>
      </c>
      <c r="DL223" s="4">
        <f t="shared" si="311"/>
        <v>45327</v>
      </c>
      <c r="DM223" s="112">
        <f t="shared" ca="1" si="312"/>
        <v>0</v>
      </c>
      <c r="DN223" s="112">
        <f t="shared" si="313"/>
        <v>0</v>
      </c>
      <c r="DO223" s="4">
        <f t="shared" si="314"/>
        <v>45327</v>
      </c>
      <c r="DP223" s="112">
        <f t="shared" ca="1" si="315"/>
        <v>0</v>
      </c>
      <c r="DQ223" s="112">
        <f t="shared" si="316"/>
        <v>0</v>
      </c>
      <c r="DR223" s="4">
        <f t="shared" si="317"/>
        <v>45327</v>
      </c>
      <c r="DS223" s="112">
        <f t="shared" ca="1" si="318"/>
        <v>0</v>
      </c>
      <c r="DT223" s="112">
        <f t="shared" si="319"/>
        <v>0</v>
      </c>
      <c r="DU223" s="4">
        <f t="shared" si="320"/>
        <v>45327</v>
      </c>
      <c r="DV223" s="112">
        <f t="shared" si="321"/>
        <v>0</v>
      </c>
      <c r="DW223" s="112">
        <f t="shared" si="322"/>
        <v>0</v>
      </c>
    </row>
    <row r="224" spans="2:127" x14ac:dyDescent="0.25">
      <c r="C224" s="99" t="str">
        <f t="shared" ca="1" si="330"/>
        <v/>
      </c>
      <c r="D224" s="100" t="str">
        <f t="shared" ca="1" si="330"/>
        <v/>
      </c>
      <c r="E224" s="100" t="str">
        <f t="shared" ca="1" si="330"/>
        <v/>
      </c>
      <c r="F224" s="101" t="str">
        <f t="shared" ca="1" si="330"/>
        <v/>
      </c>
      <c r="I224" s="99" t="str">
        <f t="shared" ca="1" si="331"/>
        <v/>
      </c>
      <c r="J224" s="100" t="str">
        <f t="shared" ca="1" si="332"/>
        <v/>
      </c>
      <c r="K224" s="100" t="str">
        <f t="shared" ca="1" si="333"/>
        <v/>
      </c>
      <c r="L224" s="101" t="str">
        <f t="shared" ca="1" si="334"/>
        <v/>
      </c>
      <c r="Q224" s="4">
        <f t="shared" si="269"/>
        <v>45328</v>
      </c>
      <c r="R224" s="24">
        <f t="shared" si="270"/>
        <v>0</v>
      </c>
      <c r="S224" s="25">
        <f t="shared" si="271"/>
        <v>0</v>
      </c>
      <c r="T224" s="24">
        <f t="shared" si="272"/>
        <v>0</v>
      </c>
      <c r="U224" s="25">
        <f t="shared" si="273"/>
        <v>0</v>
      </c>
      <c r="V224" s="24">
        <f t="shared" si="274"/>
        <v>0</v>
      </c>
      <c r="W224" s="25">
        <f t="shared" si="275"/>
        <v>0</v>
      </c>
      <c r="X224" s="24">
        <f t="shared" si="276"/>
        <v>0</v>
      </c>
      <c r="Y224" s="26">
        <f t="shared" si="277"/>
        <v>0</v>
      </c>
      <c r="Z224" s="27">
        <f t="shared" si="278"/>
        <v>0</v>
      </c>
      <c r="AA224" s="28">
        <f t="shared" si="279"/>
        <v>45328</v>
      </c>
      <c r="AB224" s="24">
        <f t="shared" si="280"/>
        <v>0</v>
      </c>
      <c r="AC224" s="25">
        <f t="shared" si="281"/>
        <v>0</v>
      </c>
      <c r="AD224" s="28">
        <f t="shared" si="282"/>
        <v>45328</v>
      </c>
      <c r="AE224" s="24">
        <f t="shared" si="283"/>
        <v>0</v>
      </c>
      <c r="AF224" s="25">
        <f t="shared" si="284"/>
        <v>0</v>
      </c>
      <c r="AG224" s="28">
        <f t="shared" si="285"/>
        <v>45328</v>
      </c>
      <c r="AH224" s="24">
        <f t="shared" si="286"/>
        <v>0</v>
      </c>
      <c r="AI224" s="25">
        <f t="shared" si="287"/>
        <v>0</v>
      </c>
      <c r="AJ224" s="28">
        <f t="shared" si="288"/>
        <v>45328</v>
      </c>
      <c r="AK224" s="24">
        <f t="shared" si="289"/>
        <v>0</v>
      </c>
      <c r="AL224" s="25">
        <f t="shared" si="290"/>
        <v>0</v>
      </c>
      <c r="AM224" s="29">
        <f t="shared" si="291"/>
        <v>0</v>
      </c>
      <c r="AN224" s="28">
        <f t="shared" si="292"/>
        <v>45328</v>
      </c>
      <c r="AO224" s="373">
        <f t="shared" si="261"/>
        <v>0</v>
      </c>
      <c r="AP224" s="374">
        <f t="shared" si="262"/>
        <v>0</v>
      </c>
      <c r="AQ224" s="27">
        <f t="shared" si="263"/>
        <v>0</v>
      </c>
      <c r="AR224" s="25">
        <f t="shared" si="264"/>
        <v>0</v>
      </c>
      <c r="AS224" s="25">
        <f t="shared" si="265"/>
        <v>0</v>
      </c>
      <c r="AT224" s="25">
        <f t="shared" si="266"/>
        <v>0</v>
      </c>
      <c r="AU224" s="29">
        <f t="shared" si="323"/>
        <v>0</v>
      </c>
      <c r="AV224" s="27">
        <f t="shared" si="293"/>
        <v>0</v>
      </c>
      <c r="AW224" s="27">
        <f t="shared" si="294"/>
        <v>0</v>
      </c>
      <c r="AX224" s="27">
        <f t="shared" si="295"/>
        <v>0</v>
      </c>
      <c r="AY224" s="27">
        <f t="shared" si="296"/>
        <v>0</v>
      </c>
      <c r="BH224" s="2">
        <f t="shared" si="297"/>
        <v>0</v>
      </c>
      <c r="BI224" s="298" t="str">
        <f t="shared" si="298"/>
        <v/>
      </c>
      <c r="BJ224" s="298" t="str">
        <f t="shared" si="267"/>
        <v/>
      </c>
      <c r="BQ224" s="4">
        <f t="shared" si="299"/>
        <v>45328</v>
      </c>
      <c r="BR224" s="112">
        <f t="shared" si="300"/>
        <v>0</v>
      </c>
      <c r="BS224" s="112">
        <f t="shared" si="301"/>
        <v>0</v>
      </c>
      <c r="BT224" s="112">
        <f t="shared" si="302"/>
        <v>0</v>
      </c>
      <c r="BU224" s="112">
        <f t="shared" si="303"/>
        <v>0</v>
      </c>
      <c r="BV224" s="112">
        <f t="shared" si="304"/>
        <v>0</v>
      </c>
      <c r="CI224" s="4">
        <f t="shared" si="305"/>
        <v>45328</v>
      </c>
      <c r="CJ224" s="50">
        <f ca="1">IF($BH224=0,IF($CO224="",CJ223+R224,IF('283'!$K$251=1,VLOOKUP($CO224,PerStBal,2)+R224,IF('283'!$K$253=1,(VLOOKUP($CO224,PerPortion,2)*VLOOKUP($CO224,PerStBal,6))+R224,GL!BS224))),0)</f>
        <v>0</v>
      </c>
      <c r="CK224" s="425">
        <f ca="1">IF($BH224=0,IF($CO224="",CK223+T224,IF('283'!$K$251=1,IF(mname2&lt;&gt;"",VLOOKUP($CO224,PerStBal,3)+T224,0),IF('283'!$K$253=1,(VLOOKUP($CO224,PerPortion,3)*VLOOKUP($CO224,PerStBal,6))+T224,GL!BT224))),0)</f>
        <v>0</v>
      </c>
      <c r="CL224" s="425">
        <f ca="1">IF($BH224=0,IF($CO224="",CL223+V224,IF('283'!$K$251=1,IF(mname3&lt;&gt;"",VLOOKUP($CO224,PerStBal,4)+V224,0),IF('283'!$K$253=1,(VLOOKUP($CO224,PerPortion,4)*VLOOKUP($CO224,PerStBal,6))+V224,GL!BU224))),0)</f>
        <v>0</v>
      </c>
      <c r="CM224" s="425">
        <f ca="1">IF($BH224=0,IF($CO224="",CM223+X224,IF('283'!$K$251=1,IF(mname4&lt;&gt;"",VLOOKUP($CO224,PerStBal,5)+X224,0),IF('283'!$K$253=1,(VLOOKUP($CO224,PerPortion,5)*VLOOKUP($CO224,PerStBal,6))+X224,GL!BV224))),0)</f>
        <v>0</v>
      </c>
      <c r="CN224" s="50">
        <f t="shared" ca="1" si="306"/>
        <v>0</v>
      </c>
      <c r="CO224" s="4" t="str">
        <f t="shared" ca="1" si="307"/>
        <v/>
      </c>
      <c r="CP224" s="377">
        <f t="shared" si="268"/>
        <v>0</v>
      </c>
      <c r="DI224" s="4">
        <f t="shared" si="308"/>
        <v>45328</v>
      </c>
      <c r="DJ224" s="112">
        <f t="shared" ca="1" si="309"/>
        <v>0</v>
      </c>
      <c r="DK224" s="112">
        <f t="shared" si="310"/>
        <v>0</v>
      </c>
      <c r="DL224" s="4">
        <f t="shared" si="311"/>
        <v>45328</v>
      </c>
      <c r="DM224" s="112">
        <f t="shared" ca="1" si="312"/>
        <v>0</v>
      </c>
      <c r="DN224" s="112">
        <f t="shared" si="313"/>
        <v>0</v>
      </c>
      <c r="DO224" s="4">
        <f t="shared" si="314"/>
        <v>45328</v>
      </c>
      <c r="DP224" s="112">
        <f t="shared" ca="1" si="315"/>
        <v>0</v>
      </c>
      <c r="DQ224" s="112">
        <f t="shared" si="316"/>
        <v>0</v>
      </c>
      <c r="DR224" s="4">
        <f t="shared" si="317"/>
        <v>45328</v>
      </c>
      <c r="DS224" s="112">
        <f t="shared" ca="1" si="318"/>
        <v>0</v>
      </c>
      <c r="DT224" s="112">
        <f t="shared" si="319"/>
        <v>0</v>
      </c>
      <c r="DU224" s="4">
        <f t="shared" si="320"/>
        <v>45328</v>
      </c>
      <c r="DV224" s="112">
        <f t="shared" si="321"/>
        <v>0</v>
      </c>
      <c r="DW224" s="112">
        <f t="shared" si="322"/>
        <v>0</v>
      </c>
    </row>
    <row r="225" spans="3:127" x14ac:dyDescent="0.25">
      <c r="C225" s="99" t="str">
        <f t="shared" ca="1" si="330"/>
        <v/>
      </c>
      <c r="D225" s="100" t="str">
        <f t="shared" ca="1" si="330"/>
        <v/>
      </c>
      <c r="E225" s="100" t="str">
        <f t="shared" ca="1" si="330"/>
        <v/>
      </c>
      <c r="F225" s="101" t="str">
        <f t="shared" ca="1" si="330"/>
        <v/>
      </c>
      <c r="I225" s="99" t="str">
        <f t="shared" ca="1" si="331"/>
        <v/>
      </c>
      <c r="J225" s="100" t="str">
        <f t="shared" ca="1" si="332"/>
        <v/>
      </c>
      <c r="K225" s="100" t="str">
        <f t="shared" ca="1" si="333"/>
        <v/>
      </c>
      <c r="L225" s="101" t="str">
        <f t="shared" ca="1" si="334"/>
        <v/>
      </c>
      <c r="Q225" s="4">
        <f t="shared" si="269"/>
        <v>45329</v>
      </c>
      <c r="R225" s="24">
        <f t="shared" si="270"/>
        <v>0</v>
      </c>
      <c r="S225" s="25">
        <f t="shared" si="271"/>
        <v>0</v>
      </c>
      <c r="T225" s="24">
        <f t="shared" si="272"/>
        <v>0</v>
      </c>
      <c r="U225" s="25">
        <f t="shared" si="273"/>
        <v>0</v>
      </c>
      <c r="V225" s="24">
        <f t="shared" si="274"/>
        <v>0</v>
      </c>
      <c r="W225" s="25">
        <f t="shared" si="275"/>
        <v>0</v>
      </c>
      <c r="X225" s="24">
        <f t="shared" si="276"/>
        <v>0</v>
      </c>
      <c r="Y225" s="26">
        <f t="shared" si="277"/>
        <v>0</v>
      </c>
      <c r="Z225" s="27">
        <f t="shared" si="278"/>
        <v>0</v>
      </c>
      <c r="AA225" s="28">
        <f t="shared" si="279"/>
        <v>45329</v>
      </c>
      <c r="AB225" s="24">
        <f t="shared" si="280"/>
        <v>0</v>
      </c>
      <c r="AC225" s="25">
        <f t="shared" si="281"/>
        <v>0</v>
      </c>
      <c r="AD225" s="28">
        <f t="shared" si="282"/>
        <v>45329</v>
      </c>
      <c r="AE225" s="24">
        <f t="shared" si="283"/>
        <v>0</v>
      </c>
      <c r="AF225" s="25">
        <f t="shared" si="284"/>
        <v>0</v>
      </c>
      <c r="AG225" s="28">
        <f t="shared" si="285"/>
        <v>45329</v>
      </c>
      <c r="AH225" s="24">
        <f t="shared" si="286"/>
        <v>0</v>
      </c>
      <c r="AI225" s="25">
        <f t="shared" si="287"/>
        <v>0</v>
      </c>
      <c r="AJ225" s="28">
        <f t="shared" si="288"/>
        <v>45329</v>
      </c>
      <c r="AK225" s="24">
        <f t="shared" si="289"/>
        <v>0</v>
      </c>
      <c r="AL225" s="25">
        <f t="shared" si="290"/>
        <v>0</v>
      </c>
      <c r="AM225" s="29">
        <f t="shared" si="291"/>
        <v>0</v>
      </c>
      <c r="AN225" s="28">
        <f t="shared" si="292"/>
        <v>45329</v>
      </c>
      <c r="AO225" s="373">
        <f t="shared" si="261"/>
        <v>0</v>
      </c>
      <c r="AP225" s="374">
        <f t="shared" si="262"/>
        <v>0</v>
      </c>
      <c r="AQ225" s="27">
        <f t="shared" si="263"/>
        <v>0</v>
      </c>
      <c r="AR225" s="25">
        <f t="shared" si="264"/>
        <v>0</v>
      </c>
      <c r="AS225" s="25">
        <f t="shared" si="265"/>
        <v>0</v>
      </c>
      <c r="AT225" s="25">
        <f t="shared" si="266"/>
        <v>0</v>
      </c>
      <c r="AU225" s="29">
        <f t="shared" si="323"/>
        <v>0</v>
      </c>
      <c r="AV225" s="27">
        <f t="shared" si="293"/>
        <v>0</v>
      </c>
      <c r="AW225" s="27">
        <f t="shared" si="294"/>
        <v>0</v>
      </c>
      <c r="AX225" s="27">
        <f t="shared" si="295"/>
        <v>0</v>
      </c>
      <c r="AY225" s="27">
        <f t="shared" si="296"/>
        <v>0</v>
      </c>
      <c r="BH225" s="2">
        <f t="shared" si="297"/>
        <v>0</v>
      </c>
      <c r="BI225" s="298" t="str">
        <f t="shared" si="298"/>
        <v/>
      </c>
      <c r="BJ225" s="298" t="str">
        <f t="shared" si="267"/>
        <v/>
      </c>
      <c r="BQ225" s="4">
        <f t="shared" si="299"/>
        <v>45329</v>
      </c>
      <c r="BR225" s="112">
        <f t="shared" si="300"/>
        <v>0</v>
      </c>
      <c r="BS225" s="112">
        <f t="shared" si="301"/>
        <v>0</v>
      </c>
      <c r="BT225" s="112">
        <f t="shared" si="302"/>
        <v>0</v>
      </c>
      <c r="BU225" s="112">
        <f t="shared" si="303"/>
        <v>0</v>
      </c>
      <c r="BV225" s="112">
        <f t="shared" si="304"/>
        <v>0</v>
      </c>
      <c r="CI225" s="4">
        <f t="shared" si="305"/>
        <v>45329</v>
      </c>
      <c r="CJ225" s="50">
        <f ca="1">IF($BH225=0,IF($CO225="",CJ224+R225,IF('283'!$K$251=1,VLOOKUP($CO225,PerStBal,2)+R225,IF('283'!$K$253=1,(VLOOKUP($CO225,PerPortion,2)*VLOOKUP($CO225,PerStBal,6))+R225,GL!BS225))),0)</f>
        <v>0</v>
      </c>
      <c r="CK225" s="425">
        <f ca="1">IF($BH225=0,IF($CO225="",CK224+T225,IF('283'!$K$251=1,IF(mname2&lt;&gt;"",VLOOKUP($CO225,PerStBal,3)+T225,0),IF('283'!$K$253=1,(VLOOKUP($CO225,PerPortion,3)*VLOOKUP($CO225,PerStBal,6))+T225,GL!BT225))),0)</f>
        <v>0</v>
      </c>
      <c r="CL225" s="425">
        <f ca="1">IF($BH225=0,IF($CO225="",CL224+V225,IF('283'!$K$251=1,IF(mname3&lt;&gt;"",VLOOKUP($CO225,PerStBal,4)+V225,0),IF('283'!$K$253=1,(VLOOKUP($CO225,PerPortion,4)*VLOOKUP($CO225,PerStBal,6))+V225,GL!BU225))),0)</f>
        <v>0</v>
      </c>
      <c r="CM225" s="425">
        <f ca="1">IF($BH225=0,IF($CO225="",CM224+X225,IF('283'!$K$251=1,IF(mname4&lt;&gt;"",VLOOKUP($CO225,PerStBal,5)+X225,0),IF('283'!$K$253=1,(VLOOKUP($CO225,PerPortion,5)*VLOOKUP($CO225,PerStBal,6))+X225,GL!BV225))),0)</f>
        <v>0</v>
      </c>
      <c r="CN225" s="50">
        <f t="shared" ca="1" si="306"/>
        <v>0</v>
      </c>
      <c r="CO225" s="4" t="str">
        <f t="shared" ca="1" si="307"/>
        <v/>
      </c>
      <c r="CP225" s="377">
        <f t="shared" si="268"/>
        <v>0</v>
      </c>
      <c r="DI225" s="4">
        <f t="shared" si="308"/>
        <v>45329</v>
      </c>
      <c r="DJ225" s="112">
        <f t="shared" ca="1" si="309"/>
        <v>0</v>
      </c>
      <c r="DK225" s="112">
        <f t="shared" si="310"/>
        <v>0</v>
      </c>
      <c r="DL225" s="4">
        <f t="shared" si="311"/>
        <v>45329</v>
      </c>
      <c r="DM225" s="112">
        <f t="shared" ca="1" si="312"/>
        <v>0</v>
      </c>
      <c r="DN225" s="112">
        <f t="shared" si="313"/>
        <v>0</v>
      </c>
      <c r="DO225" s="4">
        <f t="shared" si="314"/>
        <v>45329</v>
      </c>
      <c r="DP225" s="112">
        <f t="shared" ca="1" si="315"/>
        <v>0</v>
      </c>
      <c r="DQ225" s="112">
        <f t="shared" si="316"/>
        <v>0</v>
      </c>
      <c r="DR225" s="4">
        <f t="shared" si="317"/>
        <v>45329</v>
      </c>
      <c r="DS225" s="112">
        <f t="shared" ca="1" si="318"/>
        <v>0</v>
      </c>
      <c r="DT225" s="112">
        <f t="shared" si="319"/>
        <v>0</v>
      </c>
      <c r="DU225" s="4">
        <f t="shared" si="320"/>
        <v>45329</v>
      </c>
      <c r="DV225" s="112">
        <f t="shared" si="321"/>
        <v>0</v>
      </c>
      <c r="DW225" s="112">
        <f t="shared" si="322"/>
        <v>0</v>
      </c>
    </row>
    <row r="226" spans="3:127" x14ac:dyDescent="0.25">
      <c r="C226" s="99" t="str">
        <f t="shared" ca="1" si="330"/>
        <v/>
      </c>
      <c r="D226" s="100" t="str">
        <f t="shared" ca="1" si="330"/>
        <v/>
      </c>
      <c r="E226" s="100" t="str">
        <f t="shared" ca="1" si="330"/>
        <v/>
      </c>
      <c r="F226" s="101" t="str">
        <f t="shared" ca="1" si="330"/>
        <v/>
      </c>
      <c r="I226" s="99" t="str">
        <f t="shared" ca="1" si="331"/>
        <v/>
      </c>
      <c r="J226" s="100" t="str">
        <f t="shared" ca="1" si="332"/>
        <v/>
      </c>
      <c r="K226" s="100" t="str">
        <f t="shared" ca="1" si="333"/>
        <v/>
      </c>
      <c r="L226" s="101" t="str">
        <f t="shared" ca="1" si="334"/>
        <v/>
      </c>
      <c r="M226" s="102"/>
      <c r="N226" s="102"/>
      <c r="Q226" s="4">
        <f t="shared" si="269"/>
        <v>45330</v>
      </c>
      <c r="R226" s="24">
        <f t="shared" si="270"/>
        <v>0</v>
      </c>
      <c r="S226" s="25">
        <f t="shared" si="271"/>
        <v>0</v>
      </c>
      <c r="T226" s="24">
        <f t="shared" si="272"/>
        <v>0</v>
      </c>
      <c r="U226" s="25">
        <f t="shared" si="273"/>
        <v>0</v>
      </c>
      <c r="V226" s="24">
        <f t="shared" si="274"/>
        <v>0</v>
      </c>
      <c r="W226" s="25">
        <f t="shared" si="275"/>
        <v>0</v>
      </c>
      <c r="X226" s="24">
        <f t="shared" si="276"/>
        <v>0</v>
      </c>
      <c r="Y226" s="26">
        <f t="shared" si="277"/>
        <v>0</v>
      </c>
      <c r="Z226" s="27">
        <f t="shared" si="278"/>
        <v>0</v>
      </c>
      <c r="AA226" s="28">
        <f t="shared" si="279"/>
        <v>45330</v>
      </c>
      <c r="AB226" s="24">
        <f t="shared" si="280"/>
        <v>0</v>
      </c>
      <c r="AC226" s="25">
        <f t="shared" si="281"/>
        <v>0</v>
      </c>
      <c r="AD226" s="28">
        <f t="shared" si="282"/>
        <v>45330</v>
      </c>
      <c r="AE226" s="24">
        <f t="shared" si="283"/>
        <v>0</v>
      </c>
      <c r="AF226" s="25">
        <f t="shared" si="284"/>
        <v>0</v>
      </c>
      <c r="AG226" s="28">
        <f t="shared" si="285"/>
        <v>45330</v>
      </c>
      <c r="AH226" s="24">
        <f t="shared" si="286"/>
        <v>0</v>
      </c>
      <c r="AI226" s="25">
        <f t="shared" si="287"/>
        <v>0</v>
      </c>
      <c r="AJ226" s="28">
        <f t="shared" si="288"/>
        <v>45330</v>
      </c>
      <c r="AK226" s="24">
        <f t="shared" si="289"/>
        <v>0</v>
      </c>
      <c r="AL226" s="25">
        <f t="shared" si="290"/>
        <v>0</v>
      </c>
      <c r="AM226" s="29">
        <f t="shared" si="291"/>
        <v>0</v>
      </c>
      <c r="AN226" s="28">
        <f t="shared" si="292"/>
        <v>45330</v>
      </c>
      <c r="AO226" s="373">
        <f t="shared" si="261"/>
        <v>0</v>
      </c>
      <c r="AP226" s="374">
        <f t="shared" si="262"/>
        <v>0</v>
      </c>
      <c r="AQ226" s="27">
        <f t="shared" si="263"/>
        <v>0</v>
      </c>
      <c r="AR226" s="25">
        <f t="shared" si="264"/>
        <v>0</v>
      </c>
      <c r="AS226" s="25">
        <f t="shared" si="265"/>
        <v>0</v>
      </c>
      <c r="AT226" s="25">
        <f t="shared" si="266"/>
        <v>0</v>
      </c>
      <c r="AU226" s="29">
        <f t="shared" si="323"/>
        <v>0</v>
      </c>
      <c r="AV226" s="27">
        <f t="shared" si="293"/>
        <v>0</v>
      </c>
      <c r="AW226" s="27">
        <f t="shared" si="294"/>
        <v>0</v>
      </c>
      <c r="AX226" s="27">
        <f t="shared" si="295"/>
        <v>0</v>
      </c>
      <c r="AY226" s="27">
        <f t="shared" si="296"/>
        <v>0</v>
      </c>
      <c r="BH226" s="2">
        <f t="shared" si="297"/>
        <v>0</v>
      </c>
      <c r="BI226" s="298" t="str">
        <f t="shared" si="298"/>
        <v/>
      </c>
      <c r="BJ226" s="298" t="str">
        <f t="shared" si="267"/>
        <v/>
      </c>
      <c r="BQ226" s="4">
        <f t="shared" si="299"/>
        <v>45330</v>
      </c>
      <c r="BR226" s="112">
        <f t="shared" si="300"/>
        <v>0</v>
      </c>
      <c r="BS226" s="112">
        <f t="shared" si="301"/>
        <v>0</v>
      </c>
      <c r="BT226" s="112">
        <f t="shared" si="302"/>
        <v>0</v>
      </c>
      <c r="BU226" s="112">
        <f t="shared" si="303"/>
        <v>0</v>
      </c>
      <c r="BV226" s="112">
        <f t="shared" si="304"/>
        <v>0</v>
      </c>
      <c r="CI226" s="4">
        <f t="shared" si="305"/>
        <v>45330</v>
      </c>
      <c r="CJ226" s="50">
        <f ca="1">IF($BH226=0,IF($CO226="",CJ225+R226,IF('283'!$K$251=1,VLOOKUP($CO226,PerStBal,2)+R226,IF('283'!$K$253=1,(VLOOKUP($CO226,PerPortion,2)*VLOOKUP($CO226,PerStBal,6))+R226,GL!BS226))),0)</f>
        <v>0</v>
      </c>
      <c r="CK226" s="425">
        <f ca="1">IF($BH226=0,IF($CO226="",CK225+T226,IF('283'!$K$251=1,IF(mname2&lt;&gt;"",VLOOKUP($CO226,PerStBal,3)+T226,0),IF('283'!$K$253=1,(VLOOKUP($CO226,PerPortion,3)*VLOOKUP($CO226,PerStBal,6))+T226,GL!BT226))),0)</f>
        <v>0</v>
      </c>
      <c r="CL226" s="425">
        <f ca="1">IF($BH226=0,IF($CO226="",CL225+V226,IF('283'!$K$251=1,IF(mname3&lt;&gt;"",VLOOKUP($CO226,PerStBal,4)+V226,0),IF('283'!$K$253=1,(VLOOKUP($CO226,PerPortion,4)*VLOOKUP($CO226,PerStBal,6))+V226,GL!BU226))),0)</f>
        <v>0</v>
      </c>
      <c r="CM226" s="425">
        <f ca="1">IF($BH226=0,IF($CO226="",CM225+X226,IF('283'!$K$251=1,IF(mname4&lt;&gt;"",VLOOKUP($CO226,PerStBal,5)+X226,0),IF('283'!$K$253=1,(VLOOKUP($CO226,PerPortion,5)*VLOOKUP($CO226,PerStBal,6))+X226,GL!BV226))),0)</f>
        <v>0</v>
      </c>
      <c r="CN226" s="50">
        <f t="shared" ca="1" si="306"/>
        <v>0</v>
      </c>
      <c r="CO226" s="4" t="str">
        <f t="shared" ca="1" si="307"/>
        <v/>
      </c>
      <c r="CP226" s="377">
        <f t="shared" si="268"/>
        <v>0</v>
      </c>
      <c r="DI226" s="4">
        <f t="shared" si="308"/>
        <v>45330</v>
      </c>
      <c r="DJ226" s="112">
        <f t="shared" ca="1" si="309"/>
        <v>0</v>
      </c>
      <c r="DK226" s="112">
        <f t="shared" si="310"/>
        <v>0</v>
      </c>
      <c r="DL226" s="4">
        <f t="shared" si="311"/>
        <v>45330</v>
      </c>
      <c r="DM226" s="112">
        <f t="shared" ca="1" si="312"/>
        <v>0</v>
      </c>
      <c r="DN226" s="112">
        <f t="shared" si="313"/>
        <v>0</v>
      </c>
      <c r="DO226" s="4">
        <f t="shared" si="314"/>
        <v>45330</v>
      </c>
      <c r="DP226" s="112">
        <f t="shared" ca="1" si="315"/>
        <v>0</v>
      </c>
      <c r="DQ226" s="112">
        <f t="shared" si="316"/>
        <v>0</v>
      </c>
      <c r="DR226" s="4">
        <f t="shared" si="317"/>
        <v>45330</v>
      </c>
      <c r="DS226" s="112">
        <f t="shared" ca="1" si="318"/>
        <v>0</v>
      </c>
      <c r="DT226" s="112">
        <f t="shared" si="319"/>
        <v>0</v>
      </c>
      <c r="DU226" s="4">
        <f t="shared" si="320"/>
        <v>45330</v>
      </c>
      <c r="DV226" s="112">
        <f t="shared" si="321"/>
        <v>0</v>
      </c>
      <c r="DW226" s="112">
        <f t="shared" si="322"/>
        <v>0</v>
      </c>
    </row>
    <row r="227" spans="3:127" x14ac:dyDescent="0.25">
      <c r="C227" s="99" t="str">
        <f t="shared" ca="1" si="330"/>
        <v/>
      </c>
      <c r="D227" s="100" t="str">
        <f t="shared" ca="1" si="330"/>
        <v/>
      </c>
      <c r="E227" s="100" t="str">
        <f t="shared" ca="1" si="330"/>
        <v/>
      </c>
      <c r="F227" s="101" t="str">
        <f t="shared" ca="1" si="330"/>
        <v/>
      </c>
      <c r="I227" s="99" t="str">
        <f t="shared" ca="1" si="331"/>
        <v/>
      </c>
      <c r="J227" s="100" t="str">
        <f t="shared" ca="1" si="332"/>
        <v/>
      </c>
      <c r="K227" s="100" t="str">
        <f t="shared" ca="1" si="333"/>
        <v/>
      </c>
      <c r="L227" s="101" t="str">
        <f t="shared" ca="1" si="334"/>
        <v/>
      </c>
      <c r="M227" s="102"/>
      <c r="N227" s="102"/>
      <c r="Q227" s="4">
        <f t="shared" si="269"/>
        <v>45331</v>
      </c>
      <c r="R227" s="24">
        <f t="shared" si="270"/>
        <v>0</v>
      </c>
      <c r="S227" s="25">
        <f t="shared" si="271"/>
        <v>0</v>
      </c>
      <c r="T227" s="24">
        <f t="shared" si="272"/>
        <v>0</v>
      </c>
      <c r="U227" s="25">
        <f t="shared" si="273"/>
        <v>0</v>
      </c>
      <c r="V227" s="24">
        <f t="shared" si="274"/>
        <v>0</v>
      </c>
      <c r="W227" s="25">
        <f t="shared" si="275"/>
        <v>0</v>
      </c>
      <c r="X227" s="24">
        <f t="shared" si="276"/>
        <v>0</v>
      </c>
      <c r="Y227" s="26">
        <f t="shared" si="277"/>
        <v>0</v>
      </c>
      <c r="Z227" s="27">
        <f t="shared" si="278"/>
        <v>0</v>
      </c>
      <c r="AA227" s="28">
        <f t="shared" si="279"/>
        <v>45331</v>
      </c>
      <c r="AB227" s="24">
        <f t="shared" si="280"/>
        <v>0</v>
      </c>
      <c r="AC227" s="25">
        <f t="shared" si="281"/>
        <v>0</v>
      </c>
      <c r="AD227" s="28">
        <f t="shared" si="282"/>
        <v>45331</v>
      </c>
      <c r="AE227" s="24">
        <f t="shared" si="283"/>
        <v>0</v>
      </c>
      <c r="AF227" s="25">
        <f t="shared" si="284"/>
        <v>0</v>
      </c>
      <c r="AG227" s="28">
        <f t="shared" si="285"/>
        <v>45331</v>
      </c>
      <c r="AH227" s="24">
        <f t="shared" si="286"/>
        <v>0</v>
      </c>
      <c r="AI227" s="25">
        <f t="shared" si="287"/>
        <v>0</v>
      </c>
      <c r="AJ227" s="28">
        <f t="shared" si="288"/>
        <v>45331</v>
      </c>
      <c r="AK227" s="24">
        <f t="shared" si="289"/>
        <v>0</v>
      </c>
      <c r="AL227" s="25">
        <f t="shared" si="290"/>
        <v>0</v>
      </c>
      <c r="AM227" s="29">
        <f t="shared" si="291"/>
        <v>0</v>
      </c>
      <c r="AN227" s="28">
        <f t="shared" si="292"/>
        <v>45331</v>
      </c>
      <c r="AO227" s="373">
        <f t="shared" si="261"/>
        <v>0</v>
      </c>
      <c r="AP227" s="374">
        <f t="shared" si="262"/>
        <v>0</v>
      </c>
      <c r="AQ227" s="27">
        <f t="shared" si="263"/>
        <v>0</v>
      </c>
      <c r="AR227" s="25">
        <f t="shared" si="264"/>
        <v>0</v>
      </c>
      <c r="AS227" s="25">
        <f t="shared" si="265"/>
        <v>0</v>
      </c>
      <c r="AT227" s="25">
        <f t="shared" si="266"/>
        <v>0</v>
      </c>
      <c r="AU227" s="29">
        <f t="shared" si="323"/>
        <v>0</v>
      </c>
      <c r="AV227" s="27">
        <f t="shared" si="293"/>
        <v>0</v>
      </c>
      <c r="AW227" s="27">
        <f t="shared" si="294"/>
        <v>0</v>
      </c>
      <c r="AX227" s="27">
        <f t="shared" si="295"/>
        <v>0</v>
      </c>
      <c r="AY227" s="27">
        <f t="shared" si="296"/>
        <v>0</v>
      </c>
      <c r="BH227" s="2">
        <f t="shared" si="297"/>
        <v>0</v>
      </c>
      <c r="BI227" s="298" t="str">
        <f t="shared" si="298"/>
        <v/>
      </c>
      <c r="BJ227" s="298" t="str">
        <f t="shared" si="267"/>
        <v/>
      </c>
      <c r="BQ227" s="4">
        <f t="shared" si="299"/>
        <v>45331</v>
      </c>
      <c r="BR227" s="112">
        <f t="shared" si="300"/>
        <v>0</v>
      </c>
      <c r="BS227" s="112">
        <f t="shared" si="301"/>
        <v>0</v>
      </c>
      <c r="BT227" s="112">
        <f t="shared" si="302"/>
        <v>0</v>
      </c>
      <c r="BU227" s="112">
        <f t="shared" si="303"/>
        <v>0</v>
      </c>
      <c r="BV227" s="112">
        <f t="shared" si="304"/>
        <v>0</v>
      </c>
      <c r="CI227" s="4">
        <f t="shared" si="305"/>
        <v>45331</v>
      </c>
      <c r="CJ227" s="50">
        <f ca="1">IF($BH227=0,IF($CO227="",CJ226+R227,IF('283'!$K$251=1,VLOOKUP($CO227,PerStBal,2)+R227,IF('283'!$K$253=1,(VLOOKUP($CO227,PerPortion,2)*VLOOKUP($CO227,PerStBal,6))+R227,GL!BS227))),0)</f>
        <v>0</v>
      </c>
      <c r="CK227" s="425">
        <f ca="1">IF($BH227=0,IF($CO227="",CK226+T227,IF('283'!$K$251=1,IF(mname2&lt;&gt;"",VLOOKUP($CO227,PerStBal,3)+T227,0),IF('283'!$K$253=1,(VLOOKUP($CO227,PerPortion,3)*VLOOKUP($CO227,PerStBal,6))+T227,GL!BT227))),0)</f>
        <v>0</v>
      </c>
      <c r="CL227" s="425">
        <f ca="1">IF($BH227=0,IF($CO227="",CL226+V227,IF('283'!$K$251=1,IF(mname3&lt;&gt;"",VLOOKUP($CO227,PerStBal,4)+V227,0),IF('283'!$K$253=1,(VLOOKUP($CO227,PerPortion,4)*VLOOKUP($CO227,PerStBal,6))+V227,GL!BU227))),0)</f>
        <v>0</v>
      </c>
      <c r="CM227" s="425">
        <f ca="1">IF($BH227=0,IF($CO227="",CM226+X227,IF('283'!$K$251=1,IF(mname4&lt;&gt;"",VLOOKUP($CO227,PerStBal,5)+X227,0),IF('283'!$K$253=1,(VLOOKUP($CO227,PerPortion,5)*VLOOKUP($CO227,PerStBal,6))+X227,GL!BV227))),0)</f>
        <v>0</v>
      </c>
      <c r="CN227" s="50">
        <f t="shared" ca="1" si="306"/>
        <v>0</v>
      </c>
      <c r="CO227" s="4" t="str">
        <f t="shared" ca="1" si="307"/>
        <v/>
      </c>
      <c r="CP227" s="377">
        <f t="shared" si="268"/>
        <v>0</v>
      </c>
      <c r="DI227" s="4">
        <f t="shared" si="308"/>
        <v>45331</v>
      </c>
      <c r="DJ227" s="112">
        <f t="shared" ca="1" si="309"/>
        <v>0</v>
      </c>
      <c r="DK227" s="112">
        <f t="shared" si="310"/>
        <v>0</v>
      </c>
      <c r="DL227" s="4">
        <f t="shared" si="311"/>
        <v>45331</v>
      </c>
      <c r="DM227" s="112">
        <f t="shared" ca="1" si="312"/>
        <v>0</v>
      </c>
      <c r="DN227" s="112">
        <f t="shared" si="313"/>
        <v>0</v>
      </c>
      <c r="DO227" s="4">
        <f t="shared" si="314"/>
        <v>45331</v>
      </c>
      <c r="DP227" s="112">
        <f t="shared" ca="1" si="315"/>
        <v>0</v>
      </c>
      <c r="DQ227" s="112">
        <f t="shared" si="316"/>
        <v>0</v>
      </c>
      <c r="DR227" s="4">
        <f t="shared" si="317"/>
        <v>45331</v>
      </c>
      <c r="DS227" s="112">
        <f t="shared" ca="1" si="318"/>
        <v>0</v>
      </c>
      <c r="DT227" s="112">
        <f t="shared" si="319"/>
        <v>0</v>
      </c>
      <c r="DU227" s="4">
        <f t="shared" si="320"/>
        <v>45331</v>
      </c>
      <c r="DV227" s="112">
        <f t="shared" si="321"/>
        <v>0</v>
      </c>
      <c r="DW227" s="112">
        <f t="shared" si="322"/>
        <v>0</v>
      </c>
    </row>
    <row r="228" spans="3:127" x14ac:dyDescent="0.25">
      <c r="C228" s="99" t="str">
        <f t="shared" ca="1" si="330"/>
        <v/>
      </c>
      <c r="D228" s="100" t="str">
        <f t="shared" ca="1" si="330"/>
        <v/>
      </c>
      <c r="E228" s="100" t="str">
        <f t="shared" ca="1" si="330"/>
        <v/>
      </c>
      <c r="F228" s="101" t="str">
        <f t="shared" ca="1" si="330"/>
        <v/>
      </c>
      <c r="I228" s="99" t="str">
        <f t="shared" ca="1" si="331"/>
        <v/>
      </c>
      <c r="J228" s="100" t="str">
        <f t="shared" ca="1" si="332"/>
        <v/>
      </c>
      <c r="K228" s="100" t="str">
        <f t="shared" ca="1" si="333"/>
        <v/>
      </c>
      <c r="L228" s="101" t="str">
        <f t="shared" ca="1" si="334"/>
        <v/>
      </c>
      <c r="Q228" s="4">
        <f t="shared" si="269"/>
        <v>45332</v>
      </c>
      <c r="R228" s="24">
        <f t="shared" si="270"/>
        <v>0</v>
      </c>
      <c r="S228" s="25">
        <f t="shared" si="271"/>
        <v>0</v>
      </c>
      <c r="T228" s="24">
        <f t="shared" si="272"/>
        <v>0</v>
      </c>
      <c r="U228" s="25">
        <f t="shared" si="273"/>
        <v>0</v>
      </c>
      <c r="V228" s="24">
        <f t="shared" si="274"/>
        <v>0</v>
      </c>
      <c r="W228" s="25">
        <f t="shared" si="275"/>
        <v>0</v>
      </c>
      <c r="X228" s="24">
        <f t="shared" si="276"/>
        <v>0</v>
      </c>
      <c r="Y228" s="26">
        <f t="shared" si="277"/>
        <v>0</v>
      </c>
      <c r="Z228" s="27">
        <f t="shared" si="278"/>
        <v>0</v>
      </c>
      <c r="AA228" s="28">
        <f t="shared" si="279"/>
        <v>45332</v>
      </c>
      <c r="AB228" s="24">
        <f t="shared" si="280"/>
        <v>0</v>
      </c>
      <c r="AC228" s="25">
        <f t="shared" si="281"/>
        <v>0</v>
      </c>
      <c r="AD228" s="28">
        <f t="shared" si="282"/>
        <v>45332</v>
      </c>
      <c r="AE228" s="24">
        <f t="shared" si="283"/>
        <v>0</v>
      </c>
      <c r="AF228" s="25">
        <f t="shared" si="284"/>
        <v>0</v>
      </c>
      <c r="AG228" s="28">
        <f t="shared" si="285"/>
        <v>45332</v>
      </c>
      <c r="AH228" s="24">
        <f t="shared" si="286"/>
        <v>0</v>
      </c>
      <c r="AI228" s="25">
        <f t="shared" si="287"/>
        <v>0</v>
      </c>
      <c r="AJ228" s="28">
        <f t="shared" si="288"/>
        <v>45332</v>
      </c>
      <c r="AK228" s="24">
        <f t="shared" si="289"/>
        <v>0</v>
      </c>
      <c r="AL228" s="25">
        <f t="shared" si="290"/>
        <v>0</v>
      </c>
      <c r="AM228" s="29">
        <f t="shared" si="291"/>
        <v>0</v>
      </c>
      <c r="AN228" s="28">
        <f t="shared" si="292"/>
        <v>45332</v>
      </c>
      <c r="AO228" s="373">
        <f t="shared" si="261"/>
        <v>0</v>
      </c>
      <c r="AP228" s="374">
        <f t="shared" si="262"/>
        <v>0</v>
      </c>
      <c r="AQ228" s="27">
        <f t="shared" si="263"/>
        <v>0</v>
      </c>
      <c r="AR228" s="25">
        <f t="shared" si="264"/>
        <v>0</v>
      </c>
      <c r="AS228" s="25">
        <f t="shared" si="265"/>
        <v>0</v>
      </c>
      <c r="AT228" s="25">
        <f t="shared" si="266"/>
        <v>0</v>
      </c>
      <c r="AU228" s="29">
        <f t="shared" si="323"/>
        <v>0</v>
      </c>
      <c r="AV228" s="27">
        <f t="shared" si="293"/>
        <v>0</v>
      </c>
      <c r="AW228" s="27">
        <f t="shared" si="294"/>
        <v>0</v>
      </c>
      <c r="AX228" s="27">
        <f t="shared" si="295"/>
        <v>0</v>
      </c>
      <c r="AY228" s="27">
        <f t="shared" si="296"/>
        <v>0</v>
      </c>
      <c r="BH228" s="2">
        <f t="shared" si="297"/>
        <v>0</v>
      </c>
      <c r="BI228" s="298" t="str">
        <f t="shared" si="298"/>
        <v/>
      </c>
      <c r="BJ228" s="298" t="str">
        <f t="shared" si="267"/>
        <v/>
      </c>
      <c r="BQ228" s="4">
        <f t="shared" si="299"/>
        <v>45332</v>
      </c>
      <c r="BR228" s="112">
        <f t="shared" si="300"/>
        <v>0</v>
      </c>
      <c r="BS228" s="112">
        <f t="shared" si="301"/>
        <v>0</v>
      </c>
      <c r="BT228" s="112">
        <f t="shared" si="302"/>
        <v>0</v>
      </c>
      <c r="BU228" s="112">
        <f t="shared" si="303"/>
        <v>0</v>
      </c>
      <c r="BV228" s="112">
        <f t="shared" si="304"/>
        <v>0</v>
      </c>
      <c r="CI228" s="4">
        <f t="shared" si="305"/>
        <v>45332</v>
      </c>
      <c r="CJ228" s="50">
        <f ca="1">IF($BH228=0,IF($CO228="",CJ227+R228,IF('283'!$K$251=1,VLOOKUP($CO228,PerStBal,2)+R228,IF('283'!$K$253=1,(VLOOKUP($CO228,PerPortion,2)*VLOOKUP($CO228,PerStBal,6))+R228,GL!BS228))),0)</f>
        <v>0</v>
      </c>
      <c r="CK228" s="425">
        <f ca="1">IF($BH228=0,IF($CO228="",CK227+T228,IF('283'!$K$251=1,IF(mname2&lt;&gt;"",VLOOKUP($CO228,PerStBal,3)+T228,0),IF('283'!$K$253=1,(VLOOKUP($CO228,PerPortion,3)*VLOOKUP($CO228,PerStBal,6))+T228,GL!BT228))),0)</f>
        <v>0</v>
      </c>
      <c r="CL228" s="425">
        <f ca="1">IF($BH228=0,IF($CO228="",CL227+V228,IF('283'!$K$251=1,IF(mname3&lt;&gt;"",VLOOKUP($CO228,PerStBal,4)+V228,0),IF('283'!$K$253=1,(VLOOKUP($CO228,PerPortion,4)*VLOOKUP($CO228,PerStBal,6))+V228,GL!BU228))),0)</f>
        <v>0</v>
      </c>
      <c r="CM228" s="425">
        <f ca="1">IF($BH228=0,IF($CO228="",CM227+X228,IF('283'!$K$251=1,IF(mname4&lt;&gt;"",VLOOKUP($CO228,PerStBal,5)+X228,0),IF('283'!$K$253=1,(VLOOKUP($CO228,PerPortion,5)*VLOOKUP($CO228,PerStBal,6))+X228,GL!BV228))),0)</f>
        <v>0</v>
      </c>
      <c r="CN228" s="50">
        <f t="shared" ca="1" si="306"/>
        <v>0</v>
      </c>
      <c r="CO228" s="4" t="str">
        <f t="shared" ca="1" si="307"/>
        <v/>
      </c>
      <c r="CP228" s="377">
        <f t="shared" si="268"/>
        <v>0</v>
      </c>
      <c r="DI228" s="4">
        <f t="shared" si="308"/>
        <v>45332</v>
      </c>
      <c r="DJ228" s="112">
        <f t="shared" ca="1" si="309"/>
        <v>0</v>
      </c>
      <c r="DK228" s="112">
        <f t="shared" si="310"/>
        <v>0</v>
      </c>
      <c r="DL228" s="4">
        <f t="shared" si="311"/>
        <v>45332</v>
      </c>
      <c r="DM228" s="112">
        <f t="shared" ca="1" si="312"/>
        <v>0</v>
      </c>
      <c r="DN228" s="112">
        <f t="shared" si="313"/>
        <v>0</v>
      </c>
      <c r="DO228" s="4">
        <f t="shared" si="314"/>
        <v>45332</v>
      </c>
      <c r="DP228" s="112">
        <f t="shared" ca="1" si="315"/>
        <v>0</v>
      </c>
      <c r="DQ228" s="112">
        <f t="shared" si="316"/>
        <v>0</v>
      </c>
      <c r="DR228" s="4">
        <f t="shared" si="317"/>
        <v>45332</v>
      </c>
      <c r="DS228" s="112">
        <f t="shared" ca="1" si="318"/>
        <v>0</v>
      </c>
      <c r="DT228" s="112">
        <f t="shared" si="319"/>
        <v>0</v>
      </c>
      <c r="DU228" s="4">
        <f t="shared" si="320"/>
        <v>45332</v>
      </c>
      <c r="DV228" s="112">
        <f t="shared" si="321"/>
        <v>0</v>
      </c>
      <c r="DW228" s="112">
        <f t="shared" si="322"/>
        <v>0</v>
      </c>
    </row>
    <row r="229" spans="3:127" x14ac:dyDescent="0.25">
      <c r="C229" s="99" t="str">
        <f t="shared" ca="1" si="330"/>
        <v/>
      </c>
      <c r="D229" s="100" t="str">
        <f t="shared" ca="1" si="330"/>
        <v/>
      </c>
      <c r="E229" s="100" t="str">
        <f t="shared" ca="1" si="330"/>
        <v/>
      </c>
      <c r="F229" s="101" t="str">
        <f t="shared" ca="1" si="330"/>
        <v/>
      </c>
      <c r="I229" s="99" t="str">
        <f t="shared" ca="1" si="331"/>
        <v/>
      </c>
      <c r="J229" s="100" t="str">
        <f t="shared" ca="1" si="332"/>
        <v/>
      </c>
      <c r="K229" s="100" t="str">
        <f t="shared" ca="1" si="333"/>
        <v/>
      </c>
      <c r="L229" s="101" t="str">
        <f t="shared" ca="1" si="334"/>
        <v/>
      </c>
      <c r="Q229" s="4">
        <f t="shared" si="269"/>
        <v>45333</v>
      </c>
      <c r="R229" s="24">
        <f t="shared" si="270"/>
        <v>0</v>
      </c>
      <c r="S229" s="25">
        <f t="shared" si="271"/>
        <v>0</v>
      </c>
      <c r="T229" s="24">
        <f t="shared" si="272"/>
        <v>0</v>
      </c>
      <c r="U229" s="25">
        <f t="shared" si="273"/>
        <v>0</v>
      </c>
      <c r="V229" s="24">
        <f t="shared" si="274"/>
        <v>0</v>
      </c>
      <c r="W229" s="25">
        <f t="shared" si="275"/>
        <v>0</v>
      </c>
      <c r="X229" s="24">
        <f t="shared" si="276"/>
        <v>0</v>
      </c>
      <c r="Y229" s="26">
        <f t="shared" si="277"/>
        <v>0</v>
      </c>
      <c r="Z229" s="27">
        <f t="shared" si="278"/>
        <v>0</v>
      </c>
      <c r="AA229" s="28">
        <f t="shared" si="279"/>
        <v>45333</v>
      </c>
      <c r="AB229" s="24">
        <f t="shared" si="280"/>
        <v>0</v>
      </c>
      <c r="AC229" s="25">
        <f t="shared" si="281"/>
        <v>0</v>
      </c>
      <c r="AD229" s="28">
        <f t="shared" si="282"/>
        <v>45333</v>
      </c>
      <c r="AE229" s="24">
        <f t="shared" si="283"/>
        <v>0</v>
      </c>
      <c r="AF229" s="25">
        <f t="shared" si="284"/>
        <v>0</v>
      </c>
      <c r="AG229" s="28">
        <f t="shared" si="285"/>
        <v>45333</v>
      </c>
      <c r="AH229" s="24">
        <f t="shared" si="286"/>
        <v>0</v>
      </c>
      <c r="AI229" s="25">
        <f t="shared" si="287"/>
        <v>0</v>
      </c>
      <c r="AJ229" s="28">
        <f t="shared" si="288"/>
        <v>45333</v>
      </c>
      <c r="AK229" s="24">
        <f t="shared" si="289"/>
        <v>0</v>
      </c>
      <c r="AL229" s="25">
        <f t="shared" si="290"/>
        <v>0</v>
      </c>
      <c r="AM229" s="29">
        <f t="shared" si="291"/>
        <v>0</v>
      </c>
      <c r="AN229" s="28">
        <f t="shared" si="292"/>
        <v>45333</v>
      </c>
      <c r="AO229" s="373">
        <f t="shared" si="261"/>
        <v>0</v>
      </c>
      <c r="AP229" s="374">
        <f t="shared" si="262"/>
        <v>0</v>
      </c>
      <c r="AQ229" s="27">
        <f t="shared" si="263"/>
        <v>0</v>
      </c>
      <c r="AR229" s="25">
        <f t="shared" si="264"/>
        <v>0</v>
      </c>
      <c r="AS229" s="25">
        <f t="shared" si="265"/>
        <v>0</v>
      </c>
      <c r="AT229" s="25">
        <f t="shared" si="266"/>
        <v>0</v>
      </c>
      <c r="AU229" s="29">
        <f t="shared" si="323"/>
        <v>0</v>
      </c>
      <c r="AV229" s="27">
        <f t="shared" si="293"/>
        <v>0</v>
      </c>
      <c r="AW229" s="27">
        <f t="shared" si="294"/>
        <v>0</v>
      </c>
      <c r="AX229" s="27">
        <f t="shared" si="295"/>
        <v>0</v>
      </c>
      <c r="AY229" s="27">
        <f t="shared" si="296"/>
        <v>0</v>
      </c>
      <c r="BH229" s="2">
        <f t="shared" si="297"/>
        <v>0</v>
      </c>
      <c r="BI229" s="298" t="str">
        <f t="shared" si="298"/>
        <v/>
      </c>
      <c r="BJ229" s="298" t="str">
        <f t="shared" si="267"/>
        <v/>
      </c>
      <c r="BQ229" s="4">
        <f t="shared" si="299"/>
        <v>45333</v>
      </c>
      <c r="BR229" s="112">
        <f t="shared" si="300"/>
        <v>0</v>
      </c>
      <c r="BS229" s="112">
        <f t="shared" si="301"/>
        <v>0</v>
      </c>
      <c r="BT229" s="112">
        <f t="shared" si="302"/>
        <v>0</v>
      </c>
      <c r="BU229" s="112">
        <f t="shared" si="303"/>
        <v>0</v>
      </c>
      <c r="BV229" s="112">
        <f t="shared" si="304"/>
        <v>0</v>
      </c>
      <c r="CI229" s="4">
        <f t="shared" si="305"/>
        <v>45333</v>
      </c>
      <c r="CJ229" s="50">
        <f ca="1">IF($BH229=0,IF($CO229="",CJ228+R229,IF('283'!$K$251=1,VLOOKUP($CO229,PerStBal,2)+R229,IF('283'!$K$253=1,(VLOOKUP($CO229,PerPortion,2)*VLOOKUP($CO229,PerStBal,6))+R229,GL!BS229))),0)</f>
        <v>0</v>
      </c>
      <c r="CK229" s="425">
        <f ca="1">IF($BH229=0,IF($CO229="",CK228+T229,IF('283'!$K$251=1,IF(mname2&lt;&gt;"",VLOOKUP($CO229,PerStBal,3)+T229,0),IF('283'!$K$253=1,(VLOOKUP($CO229,PerPortion,3)*VLOOKUP($CO229,PerStBal,6))+T229,GL!BT229))),0)</f>
        <v>0</v>
      </c>
      <c r="CL229" s="425">
        <f ca="1">IF($BH229=0,IF($CO229="",CL228+V229,IF('283'!$K$251=1,IF(mname3&lt;&gt;"",VLOOKUP($CO229,PerStBal,4)+V229,0),IF('283'!$K$253=1,(VLOOKUP($CO229,PerPortion,4)*VLOOKUP($CO229,PerStBal,6))+V229,GL!BU229))),0)</f>
        <v>0</v>
      </c>
      <c r="CM229" s="425">
        <f ca="1">IF($BH229=0,IF($CO229="",CM228+X229,IF('283'!$K$251=1,IF(mname4&lt;&gt;"",VLOOKUP($CO229,PerStBal,5)+X229,0),IF('283'!$K$253=1,(VLOOKUP($CO229,PerPortion,5)*VLOOKUP($CO229,PerStBal,6))+X229,GL!BV229))),0)</f>
        <v>0</v>
      </c>
      <c r="CN229" s="50">
        <f t="shared" ca="1" si="306"/>
        <v>0</v>
      </c>
      <c r="CO229" s="4" t="str">
        <f t="shared" ca="1" si="307"/>
        <v/>
      </c>
      <c r="CP229" s="377">
        <f t="shared" si="268"/>
        <v>0</v>
      </c>
      <c r="DI229" s="4">
        <f t="shared" si="308"/>
        <v>45333</v>
      </c>
      <c r="DJ229" s="112">
        <f t="shared" ca="1" si="309"/>
        <v>0</v>
      </c>
      <c r="DK229" s="112">
        <f t="shared" si="310"/>
        <v>0</v>
      </c>
      <c r="DL229" s="4">
        <f t="shared" si="311"/>
        <v>45333</v>
      </c>
      <c r="DM229" s="112">
        <f t="shared" ca="1" si="312"/>
        <v>0</v>
      </c>
      <c r="DN229" s="112">
        <f t="shared" si="313"/>
        <v>0</v>
      </c>
      <c r="DO229" s="4">
        <f t="shared" si="314"/>
        <v>45333</v>
      </c>
      <c r="DP229" s="112">
        <f t="shared" ca="1" si="315"/>
        <v>0</v>
      </c>
      <c r="DQ229" s="112">
        <f t="shared" si="316"/>
        <v>0</v>
      </c>
      <c r="DR229" s="4">
        <f t="shared" si="317"/>
        <v>45333</v>
      </c>
      <c r="DS229" s="112">
        <f t="shared" ca="1" si="318"/>
        <v>0</v>
      </c>
      <c r="DT229" s="112">
        <f t="shared" si="319"/>
        <v>0</v>
      </c>
      <c r="DU229" s="4">
        <f t="shared" si="320"/>
        <v>45333</v>
      </c>
      <c r="DV229" s="112">
        <f t="shared" si="321"/>
        <v>0</v>
      </c>
      <c r="DW229" s="112">
        <f t="shared" si="322"/>
        <v>0</v>
      </c>
    </row>
    <row r="230" spans="3:127" x14ac:dyDescent="0.25">
      <c r="C230" s="99" t="str">
        <f t="shared" ca="1" si="330"/>
        <v/>
      </c>
      <c r="D230" s="100" t="str">
        <f t="shared" ca="1" si="330"/>
        <v/>
      </c>
      <c r="E230" s="100" t="str">
        <f t="shared" ca="1" si="330"/>
        <v/>
      </c>
      <c r="F230" s="101" t="str">
        <f t="shared" ca="1" si="330"/>
        <v/>
      </c>
      <c r="I230" s="103" t="str">
        <f t="shared" ca="1" si="331"/>
        <v/>
      </c>
      <c r="J230" s="104" t="str">
        <f t="shared" ca="1" si="332"/>
        <v/>
      </c>
      <c r="K230" s="104" t="str">
        <f t="shared" ca="1" si="333"/>
        <v/>
      </c>
      <c r="L230" s="105" t="str">
        <f t="shared" ca="1" si="334"/>
        <v/>
      </c>
      <c r="Q230" s="4">
        <f t="shared" si="269"/>
        <v>45334</v>
      </c>
      <c r="R230" s="24">
        <f t="shared" si="270"/>
        <v>0</v>
      </c>
      <c r="S230" s="25">
        <f t="shared" si="271"/>
        <v>0</v>
      </c>
      <c r="T230" s="24">
        <f t="shared" si="272"/>
        <v>0</v>
      </c>
      <c r="U230" s="25">
        <f t="shared" si="273"/>
        <v>0</v>
      </c>
      <c r="V230" s="24">
        <f t="shared" si="274"/>
        <v>0</v>
      </c>
      <c r="W230" s="25">
        <f t="shared" si="275"/>
        <v>0</v>
      </c>
      <c r="X230" s="24">
        <f t="shared" si="276"/>
        <v>0</v>
      </c>
      <c r="Y230" s="26">
        <f t="shared" si="277"/>
        <v>0</v>
      </c>
      <c r="Z230" s="27">
        <f t="shared" si="278"/>
        <v>0</v>
      </c>
      <c r="AA230" s="28">
        <f t="shared" si="279"/>
        <v>45334</v>
      </c>
      <c r="AB230" s="24">
        <f t="shared" si="280"/>
        <v>0</v>
      </c>
      <c r="AC230" s="25">
        <f t="shared" si="281"/>
        <v>0</v>
      </c>
      <c r="AD230" s="28">
        <f t="shared" si="282"/>
        <v>45334</v>
      </c>
      <c r="AE230" s="24">
        <f t="shared" si="283"/>
        <v>0</v>
      </c>
      <c r="AF230" s="25">
        <f t="shared" si="284"/>
        <v>0</v>
      </c>
      <c r="AG230" s="28">
        <f t="shared" si="285"/>
        <v>45334</v>
      </c>
      <c r="AH230" s="24">
        <f t="shared" si="286"/>
        <v>0</v>
      </c>
      <c r="AI230" s="25">
        <f t="shared" si="287"/>
        <v>0</v>
      </c>
      <c r="AJ230" s="28">
        <f t="shared" si="288"/>
        <v>45334</v>
      </c>
      <c r="AK230" s="24">
        <f t="shared" si="289"/>
        <v>0</v>
      </c>
      <c r="AL230" s="25">
        <f t="shared" si="290"/>
        <v>0</v>
      </c>
      <c r="AM230" s="29">
        <f t="shared" si="291"/>
        <v>0</v>
      </c>
      <c r="AN230" s="28">
        <f t="shared" si="292"/>
        <v>45334</v>
      </c>
      <c r="AO230" s="373">
        <f t="shared" si="261"/>
        <v>0</v>
      </c>
      <c r="AP230" s="374">
        <f t="shared" si="262"/>
        <v>0</v>
      </c>
      <c r="AQ230" s="27">
        <f t="shared" si="263"/>
        <v>0</v>
      </c>
      <c r="AR230" s="25">
        <f t="shared" si="264"/>
        <v>0</v>
      </c>
      <c r="AS230" s="25">
        <f t="shared" si="265"/>
        <v>0</v>
      </c>
      <c r="AT230" s="25">
        <f t="shared" si="266"/>
        <v>0</v>
      </c>
      <c r="AU230" s="29">
        <f t="shared" si="323"/>
        <v>0</v>
      </c>
      <c r="AV230" s="27">
        <f t="shared" si="293"/>
        <v>0</v>
      </c>
      <c r="AW230" s="27">
        <f t="shared" si="294"/>
        <v>0</v>
      </c>
      <c r="AX230" s="27">
        <f t="shared" si="295"/>
        <v>0</v>
      </c>
      <c r="AY230" s="27">
        <f t="shared" si="296"/>
        <v>0</v>
      </c>
      <c r="BH230" s="2">
        <f t="shared" si="297"/>
        <v>0</v>
      </c>
      <c r="BI230" s="298" t="str">
        <f t="shared" si="298"/>
        <v/>
      </c>
      <c r="BJ230" s="298" t="str">
        <f t="shared" si="267"/>
        <v/>
      </c>
      <c r="BQ230" s="4">
        <f t="shared" si="299"/>
        <v>45334</v>
      </c>
      <c r="BR230" s="112">
        <f t="shared" si="300"/>
        <v>0</v>
      </c>
      <c r="BS230" s="112">
        <f t="shared" si="301"/>
        <v>0</v>
      </c>
      <c r="BT230" s="112">
        <f t="shared" si="302"/>
        <v>0</v>
      </c>
      <c r="BU230" s="112">
        <f t="shared" si="303"/>
        <v>0</v>
      </c>
      <c r="BV230" s="112">
        <f t="shared" si="304"/>
        <v>0</v>
      </c>
      <c r="CI230" s="4">
        <f t="shared" si="305"/>
        <v>45334</v>
      </c>
      <c r="CJ230" s="50">
        <f ca="1">IF($BH230=0,IF($CO230="",CJ229+R230,IF('283'!$K$251=1,VLOOKUP($CO230,PerStBal,2)+R230,IF('283'!$K$253=1,(VLOOKUP($CO230,PerPortion,2)*VLOOKUP($CO230,PerStBal,6))+R230,GL!BS230))),0)</f>
        <v>0</v>
      </c>
      <c r="CK230" s="425">
        <f ca="1">IF($BH230=0,IF($CO230="",CK229+T230,IF('283'!$K$251=1,IF(mname2&lt;&gt;"",VLOOKUP($CO230,PerStBal,3)+T230,0),IF('283'!$K$253=1,(VLOOKUP($CO230,PerPortion,3)*VLOOKUP($CO230,PerStBal,6))+T230,GL!BT230))),0)</f>
        <v>0</v>
      </c>
      <c r="CL230" s="425">
        <f ca="1">IF($BH230=0,IF($CO230="",CL229+V230,IF('283'!$K$251=1,IF(mname3&lt;&gt;"",VLOOKUP($CO230,PerStBal,4)+V230,0),IF('283'!$K$253=1,(VLOOKUP($CO230,PerPortion,4)*VLOOKUP($CO230,PerStBal,6))+V230,GL!BU230))),0)</f>
        <v>0</v>
      </c>
      <c r="CM230" s="425">
        <f ca="1">IF($BH230=0,IF($CO230="",CM229+X230,IF('283'!$K$251=1,IF(mname4&lt;&gt;"",VLOOKUP($CO230,PerStBal,5)+X230,0),IF('283'!$K$253=1,(VLOOKUP($CO230,PerPortion,5)*VLOOKUP($CO230,PerStBal,6))+X230,GL!BV230))),0)</f>
        <v>0</v>
      </c>
      <c r="CN230" s="50">
        <f t="shared" ca="1" si="306"/>
        <v>0</v>
      </c>
      <c r="CO230" s="4" t="str">
        <f t="shared" ca="1" si="307"/>
        <v/>
      </c>
      <c r="CP230" s="377">
        <f t="shared" si="268"/>
        <v>0</v>
      </c>
      <c r="DI230" s="4">
        <f t="shared" si="308"/>
        <v>45334</v>
      </c>
      <c r="DJ230" s="112">
        <f t="shared" ca="1" si="309"/>
        <v>0</v>
      </c>
      <c r="DK230" s="112">
        <f t="shared" si="310"/>
        <v>0</v>
      </c>
      <c r="DL230" s="4">
        <f t="shared" si="311"/>
        <v>45334</v>
      </c>
      <c r="DM230" s="112">
        <f t="shared" ca="1" si="312"/>
        <v>0</v>
      </c>
      <c r="DN230" s="112">
        <f t="shared" si="313"/>
        <v>0</v>
      </c>
      <c r="DO230" s="4">
        <f t="shared" si="314"/>
        <v>45334</v>
      </c>
      <c r="DP230" s="112">
        <f t="shared" ca="1" si="315"/>
        <v>0</v>
      </c>
      <c r="DQ230" s="112">
        <f t="shared" si="316"/>
        <v>0</v>
      </c>
      <c r="DR230" s="4">
        <f t="shared" si="317"/>
        <v>45334</v>
      </c>
      <c r="DS230" s="112">
        <f t="shared" ca="1" si="318"/>
        <v>0</v>
      </c>
      <c r="DT230" s="112">
        <f t="shared" si="319"/>
        <v>0</v>
      </c>
      <c r="DU230" s="4">
        <f t="shared" si="320"/>
        <v>45334</v>
      </c>
      <c r="DV230" s="112">
        <f t="shared" si="321"/>
        <v>0</v>
      </c>
      <c r="DW230" s="112">
        <f t="shared" si="322"/>
        <v>0</v>
      </c>
    </row>
    <row r="231" spans="3:127" x14ac:dyDescent="0.25">
      <c r="C231" s="106" t="str">
        <f>IF(D95&gt;0,$C95,"")</f>
        <v/>
      </c>
      <c r="D231" s="107" t="str">
        <f>IF(E95&gt;0,$C95,"")</f>
        <v/>
      </c>
      <c r="E231" s="107" t="str">
        <f>IF(F95&gt;0,$C95,"")</f>
        <v/>
      </c>
      <c r="F231" s="108" t="str">
        <f>IF(G95&gt;0,$C95,"")</f>
        <v/>
      </c>
      <c r="I231" s="140" t="str">
        <f>IF(K95&gt;0,$J95,"")</f>
        <v/>
      </c>
      <c r="J231" s="141" t="str">
        <f>IF(L95&gt;0,$J95,"")</f>
        <v/>
      </c>
      <c r="K231" s="141" t="str">
        <f>IF(M95&gt;0,$J95,"")</f>
        <v/>
      </c>
      <c r="L231" s="142" t="str">
        <f>IF(N95&gt;0,$J95,"")</f>
        <v/>
      </c>
      <c r="Q231" s="4">
        <f t="shared" si="269"/>
        <v>45335</v>
      </c>
      <c r="R231" s="24">
        <f t="shared" si="270"/>
        <v>0</v>
      </c>
      <c r="S231" s="25">
        <f t="shared" si="271"/>
        <v>0</v>
      </c>
      <c r="T231" s="24">
        <f t="shared" si="272"/>
        <v>0</v>
      </c>
      <c r="U231" s="25">
        <f t="shared" si="273"/>
        <v>0</v>
      </c>
      <c r="V231" s="24">
        <f t="shared" si="274"/>
        <v>0</v>
      </c>
      <c r="W231" s="25">
        <f t="shared" si="275"/>
        <v>0</v>
      </c>
      <c r="X231" s="24">
        <f t="shared" si="276"/>
        <v>0</v>
      </c>
      <c r="Y231" s="26">
        <f t="shared" si="277"/>
        <v>0</v>
      </c>
      <c r="Z231" s="27">
        <f t="shared" si="278"/>
        <v>0</v>
      </c>
      <c r="AA231" s="28">
        <f t="shared" si="279"/>
        <v>45335</v>
      </c>
      <c r="AB231" s="24">
        <f t="shared" si="280"/>
        <v>0</v>
      </c>
      <c r="AC231" s="25">
        <f t="shared" si="281"/>
        <v>0</v>
      </c>
      <c r="AD231" s="28">
        <f t="shared" si="282"/>
        <v>45335</v>
      </c>
      <c r="AE231" s="24">
        <f t="shared" si="283"/>
        <v>0</v>
      </c>
      <c r="AF231" s="25">
        <f t="shared" si="284"/>
        <v>0</v>
      </c>
      <c r="AG231" s="28">
        <f t="shared" si="285"/>
        <v>45335</v>
      </c>
      <c r="AH231" s="24">
        <f t="shared" si="286"/>
        <v>0</v>
      </c>
      <c r="AI231" s="25">
        <f t="shared" si="287"/>
        <v>0</v>
      </c>
      <c r="AJ231" s="28">
        <f t="shared" si="288"/>
        <v>45335</v>
      </c>
      <c r="AK231" s="24">
        <f t="shared" si="289"/>
        <v>0</v>
      </c>
      <c r="AL231" s="25">
        <f t="shared" si="290"/>
        <v>0</v>
      </c>
      <c r="AM231" s="29">
        <f t="shared" si="291"/>
        <v>0</v>
      </c>
      <c r="AN231" s="28">
        <f t="shared" si="292"/>
        <v>45335</v>
      </c>
      <c r="AO231" s="373">
        <f t="shared" si="261"/>
        <v>0</v>
      </c>
      <c r="AP231" s="374">
        <f t="shared" si="262"/>
        <v>0</v>
      </c>
      <c r="AQ231" s="27">
        <f t="shared" si="263"/>
        <v>0</v>
      </c>
      <c r="AR231" s="25">
        <f t="shared" si="264"/>
        <v>0</v>
      </c>
      <c r="AS231" s="25">
        <f t="shared" si="265"/>
        <v>0</v>
      </c>
      <c r="AT231" s="25">
        <f t="shared" si="266"/>
        <v>0</v>
      </c>
      <c r="AU231" s="29">
        <f t="shared" si="323"/>
        <v>0</v>
      </c>
      <c r="AV231" s="27">
        <f t="shared" si="293"/>
        <v>0</v>
      </c>
      <c r="AW231" s="27">
        <f t="shared" si="294"/>
        <v>0</v>
      </c>
      <c r="AX231" s="27">
        <f t="shared" si="295"/>
        <v>0</v>
      </c>
      <c r="AY231" s="27">
        <f t="shared" si="296"/>
        <v>0</v>
      </c>
      <c r="BH231" s="2">
        <f t="shared" si="297"/>
        <v>0</v>
      </c>
      <c r="BI231" s="298" t="str">
        <f t="shared" si="298"/>
        <v/>
      </c>
      <c r="BJ231" s="298" t="str">
        <f t="shared" si="267"/>
        <v/>
      </c>
      <c r="BQ231" s="4">
        <f t="shared" si="299"/>
        <v>45335</v>
      </c>
      <c r="BR231" s="112">
        <f t="shared" si="300"/>
        <v>0</v>
      </c>
      <c r="BS231" s="112">
        <f t="shared" si="301"/>
        <v>0</v>
      </c>
      <c r="BT231" s="112">
        <f t="shared" si="302"/>
        <v>0</v>
      </c>
      <c r="BU231" s="112">
        <f t="shared" si="303"/>
        <v>0</v>
      </c>
      <c r="BV231" s="112">
        <f t="shared" si="304"/>
        <v>0</v>
      </c>
      <c r="CI231" s="4">
        <f t="shared" si="305"/>
        <v>45335</v>
      </c>
      <c r="CJ231" s="50">
        <f ca="1">IF($BH231=0,IF($CO231="",CJ230+R231,IF('283'!$K$251=1,VLOOKUP($CO231,PerStBal,2)+R231,IF('283'!$K$253=1,(VLOOKUP($CO231,PerPortion,2)*VLOOKUP($CO231,PerStBal,6))+R231,GL!BS231))),0)</f>
        <v>0</v>
      </c>
      <c r="CK231" s="425">
        <f ca="1">IF($BH231=0,IF($CO231="",CK230+T231,IF('283'!$K$251=1,IF(mname2&lt;&gt;"",VLOOKUP($CO231,PerStBal,3)+T231,0),IF('283'!$K$253=1,(VLOOKUP($CO231,PerPortion,3)*VLOOKUP($CO231,PerStBal,6))+T231,GL!BT231))),0)</f>
        <v>0</v>
      </c>
      <c r="CL231" s="425">
        <f ca="1">IF($BH231=0,IF($CO231="",CL230+V231,IF('283'!$K$251=1,IF(mname3&lt;&gt;"",VLOOKUP($CO231,PerStBal,4)+V231,0),IF('283'!$K$253=1,(VLOOKUP($CO231,PerPortion,4)*VLOOKUP($CO231,PerStBal,6))+V231,GL!BU231))),0)</f>
        <v>0</v>
      </c>
      <c r="CM231" s="425">
        <f ca="1">IF($BH231=0,IF($CO231="",CM230+X231,IF('283'!$K$251=1,IF(mname4&lt;&gt;"",VLOOKUP($CO231,PerStBal,5)+X231,0),IF('283'!$K$253=1,(VLOOKUP($CO231,PerPortion,5)*VLOOKUP($CO231,PerStBal,6))+X231,GL!BV231))),0)</f>
        <v>0</v>
      </c>
      <c r="CN231" s="50">
        <f t="shared" ca="1" si="306"/>
        <v>0</v>
      </c>
      <c r="CO231" s="4" t="str">
        <f t="shared" ca="1" si="307"/>
        <v/>
      </c>
      <c r="CP231" s="377">
        <f t="shared" si="268"/>
        <v>0</v>
      </c>
      <c r="DI231" s="4">
        <f t="shared" si="308"/>
        <v>45335</v>
      </c>
      <c r="DJ231" s="112">
        <f t="shared" ca="1" si="309"/>
        <v>0</v>
      </c>
      <c r="DK231" s="112">
        <f t="shared" si="310"/>
        <v>0</v>
      </c>
      <c r="DL231" s="4">
        <f t="shared" si="311"/>
        <v>45335</v>
      </c>
      <c r="DM231" s="112">
        <f t="shared" ca="1" si="312"/>
        <v>0</v>
      </c>
      <c r="DN231" s="112">
        <f t="shared" si="313"/>
        <v>0</v>
      </c>
      <c r="DO231" s="4">
        <f t="shared" si="314"/>
        <v>45335</v>
      </c>
      <c r="DP231" s="112">
        <f t="shared" ca="1" si="315"/>
        <v>0</v>
      </c>
      <c r="DQ231" s="112">
        <f t="shared" si="316"/>
        <v>0</v>
      </c>
      <c r="DR231" s="4">
        <f t="shared" si="317"/>
        <v>45335</v>
      </c>
      <c r="DS231" s="112">
        <f t="shared" ca="1" si="318"/>
        <v>0</v>
      </c>
      <c r="DT231" s="112">
        <f t="shared" si="319"/>
        <v>0</v>
      </c>
      <c r="DU231" s="4">
        <f t="shared" si="320"/>
        <v>45335</v>
      </c>
      <c r="DV231" s="112">
        <f t="shared" si="321"/>
        <v>0</v>
      </c>
      <c r="DW231" s="112">
        <f t="shared" si="322"/>
        <v>0</v>
      </c>
    </row>
    <row r="232" spans="3:127" x14ac:dyDescent="0.25">
      <c r="C232" s="106" t="str">
        <f>IF(MID('283'!$F62,4,3)="1 P",IF($C85=YearStart,"",$C85),"")</f>
        <v/>
      </c>
      <c r="D232" s="107" t="str">
        <f>IF(MID('283'!$F62,4,3)="2 P",IF($C85=YearStart,"",$C85),"")</f>
        <v/>
      </c>
      <c r="E232" s="107" t="str">
        <f>IF(MID('283'!$F62,4,3)="3 P",IF($C85=YearStart,"",$C85),"")</f>
        <v/>
      </c>
      <c r="F232" s="108" t="str">
        <f>IF(MID('283'!$F62,4,3)="4 P",IF($C85=YearStart,"",$C85),"")</f>
        <v/>
      </c>
      <c r="I232" s="140" t="str">
        <f>IF(MID('283'!$F62,4,3)="1 A",IF($J85=YearStart,"",$J85),"")</f>
        <v/>
      </c>
      <c r="J232" s="141" t="str">
        <f>IF(MID('283'!$F62,4,3)="2 A",IF($J85=YearStart,"",$J85),"")</f>
        <v/>
      </c>
      <c r="K232" s="141" t="str">
        <f>IF(MID('283'!$F62,4,3)="3 A",IF($J85=YearStart,"",$J85),"")</f>
        <v/>
      </c>
      <c r="L232" s="142" t="str">
        <f>IF(MID('283'!$F62,4,3)="4 A",IF($J85=YearStart,"",$J85),"")</f>
        <v/>
      </c>
      <c r="Q232" s="4">
        <f t="shared" si="269"/>
        <v>45336</v>
      </c>
      <c r="R232" s="24">
        <f t="shared" si="270"/>
        <v>0</v>
      </c>
      <c r="S232" s="25">
        <f t="shared" si="271"/>
        <v>0</v>
      </c>
      <c r="T232" s="24">
        <f t="shared" si="272"/>
        <v>0</v>
      </c>
      <c r="U232" s="25">
        <f t="shared" si="273"/>
        <v>0</v>
      </c>
      <c r="V232" s="24">
        <f t="shared" si="274"/>
        <v>0</v>
      </c>
      <c r="W232" s="25">
        <f t="shared" si="275"/>
        <v>0</v>
      </c>
      <c r="X232" s="24">
        <f t="shared" si="276"/>
        <v>0</v>
      </c>
      <c r="Y232" s="26">
        <f t="shared" si="277"/>
        <v>0</v>
      </c>
      <c r="Z232" s="27">
        <f t="shared" si="278"/>
        <v>0</v>
      </c>
      <c r="AA232" s="28">
        <f t="shared" si="279"/>
        <v>45336</v>
      </c>
      <c r="AB232" s="24">
        <f t="shared" si="280"/>
        <v>0</v>
      </c>
      <c r="AC232" s="25">
        <f t="shared" si="281"/>
        <v>0</v>
      </c>
      <c r="AD232" s="28">
        <f t="shared" si="282"/>
        <v>45336</v>
      </c>
      <c r="AE232" s="24">
        <f t="shared" si="283"/>
        <v>0</v>
      </c>
      <c r="AF232" s="25">
        <f t="shared" si="284"/>
        <v>0</v>
      </c>
      <c r="AG232" s="28">
        <f t="shared" si="285"/>
        <v>45336</v>
      </c>
      <c r="AH232" s="24">
        <f t="shared" si="286"/>
        <v>0</v>
      </c>
      <c r="AI232" s="25">
        <f t="shared" si="287"/>
        <v>0</v>
      </c>
      <c r="AJ232" s="28">
        <f t="shared" si="288"/>
        <v>45336</v>
      </c>
      <c r="AK232" s="24">
        <f t="shared" si="289"/>
        <v>0</v>
      </c>
      <c r="AL232" s="25">
        <f t="shared" si="290"/>
        <v>0</v>
      </c>
      <c r="AM232" s="29">
        <f t="shared" si="291"/>
        <v>0</v>
      </c>
      <c r="AN232" s="28">
        <f t="shared" si="292"/>
        <v>45336</v>
      </c>
      <c r="AO232" s="373">
        <f t="shared" si="261"/>
        <v>0</v>
      </c>
      <c r="AP232" s="374">
        <f t="shared" si="262"/>
        <v>0</v>
      </c>
      <c r="AQ232" s="27">
        <f t="shared" si="263"/>
        <v>0</v>
      </c>
      <c r="AR232" s="25">
        <f t="shared" si="264"/>
        <v>0</v>
      </c>
      <c r="AS232" s="25">
        <f t="shared" si="265"/>
        <v>0</v>
      </c>
      <c r="AT232" s="25">
        <f t="shared" si="266"/>
        <v>0</v>
      </c>
      <c r="AU232" s="29">
        <f t="shared" si="323"/>
        <v>0</v>
      </c>
      <c r="AV232" s="27">
        <f t="shared" si="293"/>
        <v>0</v>
      </c>
      <c r="AW232" s="27">
        <f t="shared" si="294"/>
        <v>0</v>
      </c>
      <c r="AX232" s="27">
        <f t="shared" si="295"/>
        <v>0</v>
      </c>
      <c r="AY232" s="27">
        <f t="shared" si="296"/>
        <v>0</v>
      </c>
      <c r="BH232" s="2">
        <f t="shared" si="297"/>
        <v>0</v>
      </c>
      <c r="BI232" s="298" t="str">
        <f t="shared" si="298"/>
        <v/>
      </c>
      <c r="BJ232" s="298" t="str">
        <f t="shared" si="267"/>
        <v/>
      </c>
      <c r="BQ232" s="4">
        <f t="shared" si="299"/>
        <v>45336</v>
      </c>
      <c r="BR232" s="112">
        <f t="shared" si="300"/>
        <v>0</v>
      </c>
      <c r="BS232" s="112">
        <f t="shared" si="301"/>
        <v>0</v>
      </c>
      <c r="BT232" s="112">
        <f t="shared" si="302"/>
        <v>0</v>
      </c>
      <c r="BU232" s="112">
        <f t="shared" si="303"/>
        <v>0</v>
      </c>
      <c r="BV232" s="112">
        <f t="shared" si="304"/>
        <v>0</v>
      </c>
      <c r="CI232" s="4">
        <f t="shared" si="305"/>
        <v>45336</v>
      </c>
      <c r="CJ232" s="50">
        <f ca="1">IF($BH232=0,IF($CO232="",CJ231+R232,IF('283'!$K$251=1,VLOOKUP($CO232,PerStBal,2)+R232,IF('283'!$K$253=1,(VLOOKUP($CO232,PerPortion,2)*VLOOKUP($CO232,PerStBal,6))+R232,GL!BS232))),0)</f>
        <v>0</v>
      </c>
      <c r="CK232" s="425">
        <f ca="1">IF($BH232=0,IF($CO232="",CK231+T232,IF('283'!$K$251=1,IF(mname2&lt;&gt;"",VLOOKUP($CO232,PerStBal,3)+T232,0),IF('283'!$K$253=1,(VLOOKUP($CO232,PerPortion,3)*VLOOKUP($CO232,PerStBal,6))+T232,GL!BT232))),0)</f>
        <v>0</v>
      </c>
      <c r="CL232" s="425">
        <f ca="1">IF($BH232=0,IF($CO232="",CL231+V232,IF('283'!$K$251=1,IF(mname3&lt;&gt;"",VLOOKUP($CO232,PerStBal,4)+V232,0),IF('283'!$K$253=1,(VLOOKUP($CO232,PerPortion,4)*VLOOKUP($CO232,PerStBal,6))+V232,GL!BU232))),0)</f>
        <v>0</v>
      </c>
      <c r="CM232" s="425">
        <f ca="1">IF($BH232=0,IF($CO232="",CM231+X232,IF('283'!$K$251=1,IF(mname4&lt;&gt;"",VLOOKUP($CO232,PerStBal,5)+X232,0),IF('283'!$K$253=1,(VLOOKUP($CO232,PerPortion,5)*VLOOKUP($CO232,PerStBal,6))+X232,GL!BV232))),0)</f>
        <v>0</v>
      </c>
      <c r="CN232" s="50">
        <f t="shared" ca="1" si="306"/>
        <v>0</v>
      </c>
      <c r="CO232" s="4" t="str">
        <f t="shared" ca="1" si="307"/>
        <v/>
      </c>
      <c r="CP232" s="377">
        <f t="shared" si="268"/>
        <v>0</v>
      </c>
      <c r="DI232" s="4">
        <f t="shared" si="308"/>
        <v>45336</v>
      </c>
      <c r="DJ232" s="112">
        <f t="shared" ca="1" si="309"/>
        <v>0</v>
      </c>
      <c r="DK232" s="112">
        <f t="shared" si="310"/>
        <v>0</v>
      </c>
      <c r="DL232" s="4">
        <f t="shared" si="311"/>
        <v>45336</v>
      </c>
      <c r="DM232" s="112">
        <f t="shared" ca="1" si="312"/>
        <v>0</v>
      </c>
      <c r="DN232" s="112">
        <f t="shared" si="313"/>
        <v>0</v>
      </c>
      <c r="DO232" s="4">
        <f t="shared" si="314"/>
        <v>45336</v>
      </c>
      <c r="DP232" s="112">
        <f t="shared" ca="1" si="315"/>
        <v>0</v>
      </c>
      <c r="DQ232" s="112">
        <f t="shared" si="316"/>
        <v>0</v>
      </c>
      <c r="DR232" s="4">
        <f t="shared" si="317"/>
        <v>45336</v>
      </c>
      <c r="DS232" s="112">
        <f t="shared" ca="1" si="318"/>
        <v>0</v>
      </c>
      <c r="DT232" s="112">
        <f t="shared" si="319"/>
        <v>0</v>
      </c>
      <c r="DU232" s="4">
        <f t="shared" si="320"/>
        <v>45336</v>
      </c>
      <c r="DV232" s="112">
        <f t="shared" si="321"/>
        <v>0</v>
      </c>
      <c r="DW232" s="112">
        <f t="shared" si="322"/>
        <v>0</v>
      </c>
    </row>
    <row r="233" spans="3:127" x14ac:dyDescent="0.25">
      <c r="C233" s="109" t="str">
        <f>IF(MID('283'!$F63,4,3)="1 P",IF($C86=YearStart,"",$C86),"")</f>
        <v/>
      </c>
      <c r="D233" s="110" t="str">
        <f>IF(MID('283'!$F63,4,3)="2 P",IF($C86=YearStart,"",$C86),"")</f>
        <v/>
      </c>
      <c r="E233" s="110" t="str">
        <f>IF(MID('283'!$F63,4,3)="3 P",IF($C86=YearStart,"",$C86),"")</f>
        <v/>
      </c>
      <c r="F233" s="111" t="str">
        <f>IF(MID('283'!$F63,4,3)="4 P",IF($C86=YearStart,"",$C86),"")</f>
        <v/>
      </c>
      <c r="I233" s="143" t="str">
        <f>IF(MID('283'!$F63,4,3)="1 A",IF($J86=YearStart,"",$J86),"")</f>
        <v/>
      </c>
      <c r="J233" s="144" t="str">
        <f>IF(MID('283'!$F63,4,3)="2 A",IF($J86=YearStart,"",$J86),"")</f>
        <v/>
      </c>
      <c r="K233" s="144" t="str">
        <f>IF(MID('283'!$F63,4,3)="3 A",IF($J86=YearStart,"",$J86),"")</f>
        <v/>
      </c>
      <c r="L233" s="145" t="str">
        <f>IF(MID('283'!$F63,4,3)="4 A",IF($J86=YearStart,"",$J86),"")</f>
        <v/>
      </c>
      <c r="Q233" s="4">
        <f t="shared" si="269"/>
        <v>45337</v>
      </c>
      <c r="R233" s="24">
        <f t="shared" si="270"/>
        <v>0</v>
      </c>
      <c r="S233" s="25">
        <f t="shared" si="271"/>
        <v>0</v>
      </c>
      <c r="T233" s="24">
        <f t="shared" si="272"/>
        <v>0</v>
      </c>
      <c r="U233" s="25">
        <f t="shared" si="273"/>
        <v>0</v>
      </c>
      <c r="V233" s="24">
        <f t="shared" si="274"/>
        <v>0</v>
      </c>
      <c r="W233" s="25">
        <f t="shared" si="275"/>
        <v>0</v>
      </c>
      <c r="X233" s="24">
        <f t="shared" si="276"/>
        <v>0</v>
      </c>
      <c r="Y233" s="26">
        <f t="shared" si="277"/>
        <v>0</v>
      </c>
      <c r="Z233" s="27">
        <f t="shared" si="278"/>
        <v>0</v>
      </c>
      <c r="AA233" s="28">
        <f t="shared" si="279"/>
        <v>45337</v>
      </c>
      <c r="AB233" s="24">
        <f t="shared" si="280"/>
        <v>0</v>
      </c>
      <c r="AC233" s="25">
        <f t="shared" si="281"/>
        <v>0</v>
      </c>
      <c r="AD233" s="28">
        <f t="shared" si="282"/>
        <v>45337</v>
      </c>
      <c r="AE233" s="24">
        <f t="shared" si="283"/>
        <v>0</v>
      </c>
      <c r="AF233" s="25">
        <f t="shared" si="284"/>
        <v>0</v>
      </c>
      <c r="AG233" s="28">
        <f t="shared" si="285"/>
        <v>45337</v>
      </c>
      <c r="AH233" s="24">
        <f t="shared" si="286"/>
        <v>0</v>
      </c>
      <c r="AI233" s="25">
        <f t="shared" si="287"/>
        <v>0</v>
      </c>
      <c r="AJ233" s="28">
        <f t="shared" si="288"/>
        <v>45337</v>
      </c>
      <c r="AK233" s="24">
        <f t="shared" si="289"/>
        <v>0</v>
      </c>
      <c r="AL233" s="25">
        <f t="shared" si="290"/>
        <v>0</v>
      </c>
      <c r="AM233" s="29">
        <f t="shared" si="291"/>
        <v>0</v>
      </c>
      <c r="AN233" s="28">
        <f t="shared" si="292"/>
        <v>45337</v>
      </c>
      <c r="AO233" s="373">
        <f t="shared" si="261"/>
        <v>0</v>
      </c>
      <c r="AP233" s="374">
        <f t="shared" si="262"/>
        <v>0</v>
      </c>
      <c r="AQ233" s="27">
        <f t="shared" si="263"/>
        <v>0</v>
      </c>
      <c r="AR233" s="25">
        <f t="shared" si="264"/>
        <v>0</v>
      </c>
      <c r="AS233" s="25">
        <f t="shared" si="265"/>
        <v>0</v>
      </c>
      <c r="AT233" s="25">
        <f t="shared" si="266"/>
        <v>0</v>
      </c>
      <c r="AU233" s="29">
        <f t="shared" si="323"/>
        <v>0</v>
      </c>
      <c r="AV233" s="27">
        <f t="shared" si="293"/>
        <v>0</v>
      </c>
      <c r="AW233" s="27">
        <f t="shared" si="294"/>
        <v>0</v>
      </c>
      <c r="AX233" s="27">
        <f t="shared" si="295"/>
        <v>0</v>
      </c>
      <c r="AY233" s="27">
        <f t="shared" si="296"/>
        <v>0</v>
      </c>
      <c r="BH233" s="2">
        <f t="shared" si="297"/>
        <v>0</v>
      </c>
      <c r="BI233" s="298" t="str">
        <f t="shared" si="298"/>
        <v/>
      </c>
      <c r="BJ233" s="298" t="str">
        <f t="shared" si="267"/>
        <v/>
      </c>
      <c r="BQ233" s="4">
        <f t="shared" si="299"/>
        <v>45337</v>
      </c>
      <c r="BR233" s="112">
        <f t="shared" si="300"/>
        <v>0</v>
      </c>
      <c r="BS233" s="112">
        <f t="shared" si="301"/>
        <v>0</v>
      </c>
      <c r="BT233" s="112">
        <f t="shared" si="302"/>
        <v>0</v>
      </c>
      <c r="BU233" s="112">
        <f t="shared" si="303"/>
        <v>0</v>
      </c>
      <c r="BV233" s="112">
        <f t="shared" si="304"/>
        <v>0</v>
      </c>
      <c r="CI233" s="4">
        <f t="shared" si="305"/>
        <v>45337</v>
      </c>
      <c r="CJ233" s="50">
        <f ca="1">IF($BH233=0,IF($CO233="",CJ232+R233,IF('283'!$K$251=1,VLOOKUP($CO233,PerStBal,2)+R233,IF('283'!$K$253=1,(VLOOKUP($CO233,PerPortion,2)*VLOOKUP($CO233,PerStBal,6))+R233,GL!BS233))),0)</f>
        <v>0</v>
      </c>
      <c r="CK233" s="425">
        <f ca="1">IF($BH233=0,IF($CO233="",CK232+T233,IF('283'!$K$251=1,IF(mname2&lt;&gt;"",VLOOKUP($CO233,PerStBal,3)+T233,0),IF('283'!$K$253=1,(VLOOKUP($CO233,PerPortion,3)*VLOOKUP($CO233,PerStBal,6))+T233,GL!BT233))),0)</f>
        <v>0</v>
      </c>
      <c r="CL233" s="425">
        <f ca="1">IF($BH233=0,IF($CO233="",CL232+V233,IF('283'!$K$251=1,IF(mname3&lt;&gt;"",VLOOKUP($CO233,PerStBal,4)+V233,0),IF('283'!$K$253=1,(VLOOKUP($CO233,PerPortion,4)*VLOOKUP($CO233,PerStBal,6))+V233,GL!BU233))),0)</f>
        <v>0</v>
      </c>
      <c r="CM233" s="425">
        <f ca="1">IF($BH233=0,IF($CO233="",CM232+X233,IF('283'!$K$251=1,IF(mname4&lt;&gt;"",VLOOKUP($CO233,PerStBal,5)+X233,0),IF('283'!$K$253=1,(VLOOKUP($CO233,PerPortion,5)*VLOOKUP($CO233,PerStBal,6))+X233,GL!BV233))),0)</f>
        <v>0</v>
      </c>
      <c r="CN233" s="50">
        <f t="shared" ca="1" si="306"/>
        <v>0</v>
      </c>
      <c r="CO233" s="4" t="str">
        <f t="shared" ca="1" si="307"/>
        <v/>
      </c>
      <c r="CP233" s="377">
        <f t="shared" si="268"/>
        <v>0</v>
      </c>
      <c r="DI233" s="4">
        <f t="shared" si="308"/>
        <v>45337</v>
      </c>
      <c r="DJ233" s="112">
        <f t="shared" ca="1" si="309"/>
        <v>0</v>
      </c>
      <c r="DK233" s="112">
        <f t="shared" si="310"/>
        <v>0</v>
      </c>
      <c r="DL233" s="4">
        <f t="shared" si="311"/>
        <v>45337</v>
      </c>
      <c r="DM233" s="112">
        <f t="shared" ca="1" si="312"/>
        <v>0</v>
      </c>
      <c r="DN233" s="112">
        <f t="shared" si="313"/>
        <v>0</v>
      </c>
      <c r="DO233" s="4">
        <f t="shared" si="314"/>
        <v>45337</v>
      </c>
      <c r="DP233" s="112">
        <f t="shared" ca="1" si="315"/>
        <v>0</v>
      </c>
      <c r="DQ233" s="112">
        <f t="shared" si="316"/>
        <v>0</v>
      </c>
      <c r="DR233" s="4">
        <f t="shared" si="317"/>
        <v>45337</v>
      </c>
      <c r="DS233" s="112">
        <f t="shared" ca="1" si="318"/>
        <v>0</v>
      </c>
      <c r="DT233" s="112">
        <f t="shared" si="319"/>
        <v>0</v>
      </c>
      <c r="DU233" s="4">
        <f t="shared" si="320"/>
        <v>45337</v>
      </c>
      <c r="DV233" s="112">
        <f t="shared" si="321"/>
        <v>0</v>
      </c>
      <c r="DW233" s="112">
        <f t="shared" si="322"/>
        <v>0</v>
      </c>
    </row>
    <row r="234" spans="3:127" x14ac:dyDescent="0.25">
      <c r="C234" s="109" t="str">
        <f>IF(MID('283'!$F64,4,3)="1 P",IF($C87=YearStart,"",$C87),"")</f>
        <v/>
      </c>
      <c r="D234" s="110" t="str">
        <f>IF(MID('283'!$F64,4,3)="2 P",IF($C87=YearStart,"",$C87),"")</f>
        <v/>
      </c>
      <c r="E234" s="110" t="str">
        <f>IF(MID('283'!$F64,4,3)="3 P",IF($C87=YearStart,"",$C87),"")</f>
        <v/>
      </c>
      <c r="F234" s="111" t="str">
        <f>IF(MID('283'!$F64,4,3)="4 P",IF($C87=YearStart,"",$C87),"")</f>
        <v/>
      </c>
      <c r="I234" s="143" t="str">
        <f>IF(MID('283'!$F64,4,3)="1 A",IF($J87=YearStart,"",$J87),"")</f>
        <v/>
      </c>
      <c r="J234" s="144" t="str">
        <f>IF(MID('283'!$F64,4,3)="2 A",IF($J87=YearStart,"",$J87),"")</f>
        <v/>
      </c>
      <c r="K234" s="144" t="str">
        <f>IF(MID('283'!$F64,4,3)="3 A",IF($J87=YearStart,"",$J87),"")</f>
        <v/>
      </c>
      <c r="L234" s="145" t="str">
        <f>IF(MID('283'!$F64,4,3)="4 A",IF($J87=YearStart,"",$J87),"")</f>
        <v/>
      </c>
      <c r="N234" s="72"/>
      <c r="Q234" s="4">
        <f t="shared" si="269"/>
        <v>45338</v>
      </c>
      <c r="R234" s="24">
        <f t="shared" si="270"/>
        <v>0</v>
      </c>
      <c r="S234" s="25">
        <f t="shared" si="271"/>
        <v>0</v>
      </c>
      <c r="T234" s="24">
        <f t="shared" si="272"/>
        <v>0</v>
      </c>
      <c r="U234" s="25">
        <f t="shared" si="273"/>
        <v>0</v>
      </c>
      <c r="V234" s="24">
        <f t="shared" si="274"/>
        <v>0</v>
      </c>
      <c r="W234" s="25">
        <f t="shared" si="275"/>
        <v>0</v>
      </c>
      <c r="X234" s="24">
        <f t="shared" si="276"/>
        <v>0</v>
      </c>
      <c r="Y234" s="26">
        <f t="shared" si="277"/>
        <v>0</v>
      </c>
      <c r="Z234" s="27">
        <f t="shared" si="278"/>
        <v>0</v>
      </c>
      <c r="AA234" s="28">
        <f t="shared" si="279"/>
        <v>45338</v>
      </c>
      <c r="AB234" s="24">
        <f t="shared" si="280"/>
        <v>0</v>
      </c>
      <c r="AC234" s="25">
        <f t="shared" si="281"/>
        <v>0</v>
      </c>
      <c r="AD234" s="28">
        <f t="shared" si="282"/>
        <v>45338</v>
      </c>
      <c r="AE234" s="24">
        <f t="shared" si="283"/>
        <v>0</v>
      </c>
      <c r="AF234" s="25">
        <f t="shared" si="284"/>
        <v>0</v>
      </c>
      <c r="AG234" s="28">
        <f t="shared" si="285"/>
        <v>45338</v>
      </c>
      <c r="AH234" s="24">
        <f t="shared" si="286"/>
        <v>0</v>
      </c>
      <c r="AI234" s="25">
        <f t="shared" si="287"/>
        <v>0</v>
      </c>
      <c r="AJ234" s="28">
        <f t="shared" si="288"/>
        <v>45338</v>
      </c>
      <c r="AK234" s="24">
        <f t="shared" si="289"/>
        <v>0</v>
      </c>
      <c r="AL234" s="25">
        <f t="shared" si="290"/>
        <v>0</v>
      </c>
      <c r="AM234" s="29">
        <f t="shared" si="291"/>
        <v>0</v>
      </c>
      <c r="AN234" s="28">
        <f t="shared" si="292"/>
        <v>45338</v>
      </c>
      <c r="AO234" s="373">
        <f t="shared" si="261"/>
        <v>0</v>
      </c>
      <c r="AP234" s="374">
        <f t="shared" si="262"/>
        <v>0</v>
      </c>
      <c r="AQ234" s="27">
        <f t="shared" si="263"/>
        <v>0</v>
      </c>
      <c r="AR234" s="25">
        <f t="shared" si="264"/>
        <v>0</v>
      </c>
      <c r="AS234" s="25">
        <f t="shared" si="265"/>
        <v>0</v>
      </c>
      <c r="AT234" s="25">
        <f t="shared" si="266"/>
        <v>0</v>
      </c>
      <c r="AU234" s="29">
        <f t="shared" si="323"/>
        <v>0</v>
      </c>
      <c r="AV234" s="27">
        <f t="shared" si="293"/>
        <v>0</v>
      </c>
      <c r="AW234" s="27">
        <f t="shared" si="294"/>
        <v>0</v>
      </c>
      <c r="AX234" s="27">
        <f t="shared" si="295"/>
        <v>0</v>
      </c>
      <c r="AY234" s="27">
        <f t="shared" si="296"/>
        <v>0</v>
      </c>
      <c r="BH234" s="2">
        <f t="shared" si="297"/>
        <v>0</v>
      </c>
      <c r="BI234" s="298" t="str">
        <f t="shared" si="298"/>
        <v/>
      </c>
      <c r="BJ234" s="298" t="str">
        <f t="shared" si="267"/>
        <v/>
      </c>
      <c r="BQ234" s="4">
        <f t="shared" si="299"/>
        <v>45338</v>
      </c>
      <c r="BR234" s="112">
        <f t="shared" si="300"/>
        <v>0</v>
      </c>
      <c r="BS234" s="112">
        <f t="shared" si="301"/>
        <v>0</v>
      </c>
      <c r="BT234" s="112">
        <f t="shared" si="302"/>
        <v>0</v>
      </c>
      <c r="BU234" s="112">
        <f t="shared" si="303"/>
        <v>0</v>
      </c>
      <c r="BV234" s="112">
        <f t="shared" si="304"/>
        <v>0</v>
      </c>
      <c r="CI234" s="4">
        <f t="shared" si="305"/>
        <v>45338</v>
      </c>
      <c r="CJ234" s="50">
        <f ca="1">IF($BH234=0,IF($CO234="",CJ233+R234,IF('283'!$K$251=1,VLOOKUP($CO234,PerStBal,2)+R234,IF('283'!$K$253=1,(VLOOKUP($CO234,PerPortion,2)*VLOOKUP($CO234,PerStBal,6))+R234,GL!BS234))),0)</f>
        <v>0</v>
      </c>
      <c r="CK234" s="425">
        <f ca="1">IF($BH234=0,IF($CO234="",CK233+T234,IF('283'!$K$251=1,IF(mname2&lt;&gt;"",VLOOKUP($CO234,PerStBal,3)+T234,0),IF('283'!$K$253=1,(VLOOKUP($CO234,PerPortion,3)*VLOOKUP($CO234,PerStBal,6))+T234,GL!BT234))),0)</f>
        <v>0</v>
      </c>
      <c r="CL234" s="425">
        <f ca="1">IF($BH234=0,IF($CO234="",CL233+V234,IF('283'!$K$251=1,IF(mname3&lt;&gt;"",VLOOKUP($CO234,PerStBal,4)+V234,0),IF('283'!$K$253=1,(VLOOKUP($CO234,PerPortion,4)*VLOOKUP($CO234,PerStBal,6))+V234,GL!BU234))),0)</f>
        <v>0</v>
      </c>
      <c r="CM234" s="425">
        <f ca="1">IF($BH234=0,IF($CO234="",CM233+X234,IF('283'!$K$251=1,IF(mname4&lt;&gt;"",VLOOKUP($CO234,PerStBal,5)+X234,0),IF('283'!$K$253=1,(VLOOKUP($CO234,PerPortion,5)*VLOOKUP($CO234,PerStBal,6))+X234,GL!BV234))),0)</f>
        <v>0</v>
      </c>
      <c r="CN234" s="50">
        <f t="shared" ca="1" si="306"/>
        <v>0</v>
      </c>
      <c r="CO234" s="4" t="str">
        <f t="shared" ca="1" si="307"/>
        <v/>
      </c>
      <c r="CP234" s="377">
        <f t="shared" si="268"/>
        <v>0</v>
      </c>
      <c r="DI234" s="4">
        <f t="shared" si="308"/>
        <v>45338</v>
      </c>
      <c r="DJ234" s="112">
        <f t="shared" ca="1" si="309"/>
        <v>0</v>
      </c>
      <c r="DK234" s="112">
        <f t="shared" si="310"/>
        <v>0</v>
      </c>
      <c r="DL234" s="4">
        <f t="shared" si="311"/>
        <v>45338</v>
      </c>
      <c r="DM234" s="112">
        <f t="shared" ca="1" si="312"/>
        <v>0</v>
      </c>
      <c r="DN234" s="112">
        <f t="shared" si="313"/>
        <v>0</v>
      </c>
      <c r="DO234" s="4">
        <f t="shared" si="314"/>
        <v>45338</v>
      </c>
      <c r="DP234" s="112">
        <f t="shared" ca="1" si="315"/>
        <v>0</v>
      </c>
      <c r="DQ234" s="112">
        <f t="shared" si="316"/>
        <v>0</v>
      </c>
      <c r="DR234" s="4">
        <f t="shared" si="317"/>
        <v>45338</v>
      </c>
      <c r="DS234" s="112">
        <f t="shared" ca="1" si="318"/>
        <v>0</v>
      </c>
      <c r="DT234" s="112">
        <f t="shared" si="319"/>
        <v>0</v>
      </c>
      <c r="DU234" s="4">
        <f t="shared" si="320"/>
        <v>45338</v>
      </c>
      <c r="DV234" s="112">
        <f t="shared" si="321"/>
        <v>0</v>
      </c>
      <c r="DW234" s="112">
        <f t="shared" si="322"/>
        <v>0</v>
      </c>
    </row>
    <row r="235" spans="3:127" x14ac:dyDescent="0.25">
      <c r="C235" s="109" t="str">
        <f>IF(MID('283'!$F65,4,3)="1 P",IF($C88=YearStart,"",$C88),"")</f>
        <v/>
      </c>
      <c r="D235" s="110" t="str">
        <f>IF(MID('283'!$F65,4,3)="2 P",IF($C88=YearStart,"",$C88),"")</f>
        <v/>
      </c>
      <c r="E235" s="110" t="str">
        <f>IF(MID('283'!$F65,4,3)="3 P",IF($C88=YearStart,"",$C88),"")</f>
        <v/>
      </c>
      <c r="F235" s="111" t="str">
        <f>IF(MID('283'!$F65,4,3)="4 P",IF($C88=YearStart,"",$C88),"")</f>
        <v/>
      </c>
      <c r="I235" s="143" t="str">
        <f>IF(MID('283'!$F65,4,3)="1 A",IF($J88=YearStart,"",$J88),"")</f>
        <v/>
      </c>
      <c r="J235" s="144" t="str">
        <f>IF(MID('283'!$F65,4,3)="2 A",IF($J88=YearStart,"",$J88),"")</f>
        <v/>
      </c>
      <c r="K235" s="144" t="str">
        <f>IF(MID('283'!$F65,4,3)="3 A",IF($J88=YearStart,"",$J88),"")</f>
        <v/>
      </c>
      <c r="L235" s="145" t="str">
        <f>IF(MID('283'!$F65,4,3)="4 A",IF($J88=YearStart,"",$J88),"")</f>
        <v/>
      </c>
      <c r="N235" s="72"/>
      <c r="Q235" s="4">
        <f t="shared" si="269"/>
        <v>45339</v>
      </c>
      <c r="R235" s="24">
        <f t="shared" si="270"/>
        <v>0</v>
      </c>
      <c r="S235" s="25">
        <f t="shared" si="271"/>
        <v>0</v>
      </c>
      <c r="T235" s="24">
        <f t="shared" si="272"/>
        <v>0</v>
      </c>
      <c r="U235" s="25">
        <f t="shared" si="273"/>
        <v>0</v>
      </c>
      <c r="V235" s="24">
        <f t="shared" si="274"/>
        <v>0</v>
      </c>
      <c r="W235" s="25">
        <f t="shared" si="275"/>
        <v>0</v>
      </c>
      <c r="X235" s="24">
        <f t="shared" si="276"/>
        <v>0</v>
      </c>
      <c r="Y235" s="26">
        <f t="shared" si="277"/>
        <v>0</v>
      </c>
      <c r="Z235" s="27">
        <f t="shared" si="278"/>
        <v>0</v>
      </c>
      <c r="AA235" s="28">
        <f t="shared" si="279"/>
        <v>45339</v>
      </c>
      <c r="AB235" s="24">
        <f t="shared" si="280"/>
        <v>0</v>
      </c>
      <c r="AC235" s="25">
        <f t="shared" si="281"/>
        <v>0</v>
      </c>
      <c r="AD235" s="28">
        <f t="shared" si="282"/>
        <v>45339</v>
      </c>
      <c r="AE235" s="24">
        <f t="shared" si="283"/>
        <v>0</v>
      </c>
      <c r="AF235" s="25">
        <f t="shared" si="284"/>
        <v>0</v>
      </c>
      <c r="AG235" s="28">
        <f t="shared" si="285"/>
        <v>45339</v>
      </c>
      <c r="AH235" s="24">
        <f t="shared" si="286"/>
        <v>0</v>
      </c>
      <c r="AI235" s="25">
        <f t="shared" si="287"/>
        <v>0</v>
      </c>
      <c r="AJ235" s="28">
        <f t="shared" si="288"/>
        <v>45339</v>
      </c>
      <c r="AK235" s="24">
        <f t="shared" si="289"/>
        <v>0</v>
      </c>
      <c r="AL235" s="25">
        <f t="shared" si="290"/>
        <v>0</v>
      </c>
      <c r="AM235" s="29">
        <f t="shared" si="291"/>
        <v>0</v>
      </c>
      <c r="AN235" s="28">
        <f t="shared" si="292"/>
        <v>45339</v>
      </c>
      <c r="AO235" s="373">
        <f t="shared" si="261"/>
        <v>0</v>
      </c>
      <c r="AP235" s="374">
        <f t="shared" si="262"/>
        <v>0</v>
      </c>
      <c r="AQ235" s="27">
        <f t="shared" si="263"/>
        <v>0</v>
      </c>
      <c r="AR235" s="25">
        <f t="shared" si="264"/>
        <v>0</v>
      </c>
      <c r="AS235" s="25">
        <f t="shared" si="265"/>
        <v>0</v>
      </c>
      <c r="AT235" s="25">
        <f t="shared" si="266"/>
        <v>0</v>
      </c>
      <c r="AU235" s="29">
        <f t="shared" si="323"/>
        <v>0</v>
      </c>
      <c r="AV235" s="27">
        <f t="shared" si="293"/>
        <v>0</v>
      </c>
      <c r="AW235" s="27">
        <f t="shared" si="294"/>
        <v>0</v>
      </c>
      <c r="AX235" s="27">
        <f t="shared" si="295"/>
        <v>0</v>
      </c>
      <c r="AY235" s="27">
        <f t="shared" si="296"/>
        <v>0</v>
      </c>
      <c r="BH235" s="2">
        <f t="shared" si="297"/>
        <v>0</v>
      </c>
      <c r="BI235" s="298" t="str">
        <f t="shared" si="298"/>
        <v/>
      </c>
      <c r="BJ235" s="298" t="str">
        <f t="shared" si="267"/>
        <v/>
      </c>
      <c r="BQ235" s="4">
        <f t="shared" si="299"/>
        <v>45339</v>
      </c>
      <c r="BR235" s="112">
        <f t="shared" si="300"/>
        <v>0</v>
      </c>
      <c r="BS235" s="112">
        <f t="shared" si="301"/>
        <v>0</v>
      </c>
      <c r="BT235" s="112">
        <f t="shared" si="302"/>
        <v>0</v>
      </c>
      <c r="BU235" s="112">
        <f t="shared" si="303"/>
        <v>0</v>
      </c>
      <c r="BV235" s="112">
        <f t="shared" si="304"/>
        <v>0</v>
      </c>
      <c r="CI235" s="4">
        <f t="shared" si="305"/>
        <v>45339</v>
      </c>
      <c r="CJ235" s="50">
        <f ca="1">IF($BH235=0,IF($CO235="",CJ234+R235,IF('283'!$K$251=1,VLOOKUP($CO235,PerStBal,2)+R235,IF('283'!$K$253=1,(VLOOKUP($CO235,PerPortion,2)*VLOOKUP($CO235,PerStBal,6))+R235,GL!BS235))),0)</f>
        <v>0</v>
      </c>
      <c r="CK235" s="425">
        <f ca="1">IF($BH235=0,IF($CO235="",CK234+T235,IF('283'!$K$251=1,IF(mname2&lt;&gt;"",VLOOKUP($CO235,PerStBal,3)+T235,0),IF('283'!$K$253=1,(VLOOKUP($CO235,PerPortion,3)*VLOOKUP($CO235,PerStBal,6))+T235,GL!BT235))),0)</f>
        <v>0</v>
      </c>
      <c r="CL235" s="425">
        <f ca="1">IF($BH235=0,IF($CO235="",CL234+V235,IF('283'!$K$251=1,IF(mname3&lt;&gt;"",VLOOKUP($CO235,PerStBal,4)+V235,0),IF('283'!$K$253=1,(VLOOKUP($CO235,PerPortion,4)*VLOOKUP($CO235,PerStBal,6))+V235,GL!BU235))),0)</f>
        <v>0</v>
      </c>
      <c r="CM235" s="425">
        <f ca="1">IF($BH235=0,IF($CO235="",CM234+X235,IF('283'!$K$251=1,IF(mname4&lt;&gt;"",VLOOKUP($CO235,PerStBal,5)+X235,0),IF('283'!$K$253=1,(VLOOKUP($CO235,PerPortion,5)*VLOOKUP($CO235,PerStBal,6))+X235,GL!BV235))),0)</f>
        <v>0</v>
      </c>
      <c r="CN235" s="50">
        <f t="shared" ca="1" si="306"/>
        <v>0</v>
      </c>
      <c r="CO235" s="4" t="str">
        <f t="shared" ca="1" si="307"/>
        <v/>
      </c>
      <c r="CP235" s="377">
        <f t="shared" si="268"/>
        <v>0</v>
      </c>
      <c r="DI235" s="4">
        <f t="shared" si="308"/>
        <v>45339</v>
      </c>
      <c r="DJ235" s="112">
        <f t="shared" ca="1" si="309"/>
        <v>0</v>
      </c>
      <c r="DK235" s="112">
        <f t="shared" si="310"/>
        <v>0</v>
      </c>
      <c r="DL235" s="4">
        <f t="shared" si="311"/>
        <v>45339</v>
      </c>
      <c r="DM235" s="112">
        <f t="shared" ca="1" si="312"/>
        <v>0</v>
      </c>
      <c r="DN235" s="112">
        <f t="shared" si="313"/>
        <v>0</v>
      </c>
      <c r="DO235" s="4">
        <f t="shared" si="314"/>
        <v>45339</v>
      </c>
      <c r="DP235" s="112">
        <f t="shared" ca="1" si="315"/>
        <v>0</v>
      </c>
      <c r="DQ235" s="112">
        <f t="shared" si="316"/>
        <v>0</v>
      </c>
      <c r="DR235" s="4">
        <f t="shared" si="317"/>
        <v>45339</v>
      </c>
      <c r="DS235" s="112">
        <f t="shared" ca="1" si="318"/>
        <v>0</v>
      </c>
      <c r="DT235" s="112">
        <f t="shared" si="319"/>
        <v>0</v>
      </c>
      <c r="DU235" s="4">
        <f t="shared" si="320"/>
        <v>45339</v>
      </c>
      <c r="DV235" s="112">
        <f t="shared" si="321"/>
        <v>0</v>
      </c>
      <c r="DW235" s="112">
        <f t="shared" si="322"/>
        <v>0</v>
      </c>
    </row>
    <row r="236" spans="3:127" x14ac:dyDescent="0.25">
      <c r="C236" s="109" t="str">
        <f>IF(MID('283'!$F66,4,3)="1 P",IF($C89=YearStart,"",$C89),"")</f>
        <v/>
      </c>
      <c r="D236" s="110" t="str">
        <f>IF(MID('283'!$F66,4,3)="2 P",IF($C89=YearStart,"",$C89),"")</f>
        <v/>
      </c>
      <c r="E236" s="110" t="str">
        <f>IF(MID('283'!$F66,4,3)="3 P",IF($C89=YearStart,"",$C89),"")</f>
        <v/>
      </c>
      <c r="F236" s="111" t="str">
        <f>IF(MID('283'!$F66,4,3)="4 P",IF($C89=YearStart,"",$C89),"")</f>
        <v/>
      </c>
      <c r="I236" s="143" t="str">
        <f>IF(MID('283'!$F66,4,3)="1 A",IF($J89=YearStart,"",$J89),"")</f>
        <v/>
      </c>
      <c r="J236" s="144" t="str">
        <f>IF(MID('283'!$F66,4,3)="2 A",IF($J89=YearStart,"",$J89),"")</f>
        <v/>
      </c>
      <c r="K236" s="144" t="str">
        <f>IF(MID('283'!$F66,4,3)="3 A",IF($J89=YearStart,"",$J89),"")</f>
        <v/>
      </c>
      <c r="L236" s="145" t="str">
        <f>IF(MID('283'!$F66,4,3)="4 A",IF($J89=YearStart,"",$J89),"")</f>
        <v/>
      </c>
      <c r="Q236" s="4">
        <f t="shared" si="269"/>
        <v>45340</v>
      </c>
      <c r="R236" s="24">
        <f t="shared" si="270"/>
        <v>0</v>
      </c>
      <c r="S236" s="25">
        <f t="shared" si="271"/>
        <v>0</v>
      </c>
      <c r="T236" s="24">
        <f t="shared" si="272"/>
        <v>0</v>
      </c>
      <c r="U236" s="25">
        <f t="shared" si="273"/>
        <v>0</v>
      </c>
      <c r="V236" s="24">
        <f t="shared" si="274"/>
        <v>0</v>
      </c>
      <c r="W236" s="25">
        <f t="shared" si="275"/>
        <v>0</v>
      </c>
      <c r="X236" s="24">
        <f t="shared" si="276"/>
        <v>0</v>
      </c>
      <c r="Y236" s="26">
        <f t="shared" si="277"/>
        <v>0</v>
      </c>
      <c r="Z236" s="27">
        <f t="shared" si="278"/>
        <v>0</v>
      </c>
      <c r="AA236" s="28">
        <f t="shared" si="279"/>
        <v>45340</v>
      </c>
      <c r="AB236" s="24">
        <f t="shared" si="280"/>
        <v>0</v>
      </c>
      <c r="AC236" s="25">
        <f t="shared" si="281"/>
        <v>0</v>
      </c>
      <c r="AD236" s="28">
        <f t="shared" si="282"/>
        <v>45340</v>
      </c>
      <c r="AE236" s="24">
        <f t="shared" si="283"/>
        <v>0</v>
      </c>
      <c r="AF236" s="25">
        <f t="shared" si="284"/>
        <v>0</v>
      </c>
      <c r="AG236" s="28">
        <f t="shared" si="285"/>
        <v>45340</v>
      </c>
      <c r="AH236" s="24">
        <f t="shared" si="286"/>
        <v>0</v>
      </c>
      <c r="AI236" s="25">
        <f t="shared" si="287"/>
        <v>0</v>
      </c>
      <c r="AJ236" s="28">
        <f t="shared" si="288"/>
        <v>45340</v>
      </c>
      <c r="AK236" s="24">
        <f t="shared" si="289"/>
        <v>0</v>
      </c>
      <c r="AL236" s="25">
        <f t="shared" si="290"/>
        <v>0</v>
      </c>
      <c r="AM236" s="29">
        <f t="shared" si="291"/>
        <v>0</v>
      </c>
      <c r="AN236" s="28">
        <f t="shared" si="292"/>
        <v>45340</v>
      </c>
      <c r="AO236" s="373">
        <f t="shared" si="261"/>
        <v>0</v>
      </c>
      <c r="AP236" s="374">
        <f t="shared" si="262"/>
        <v>0</v>
      </c>
      <c r="AQ236" s="27">
        <f t="shared" si="263"/>
        <v>0</v>
      </c>
      <c r="AR236" s="25">
        <f t="shared" si="264"/>
        <v>0</v>
      </c>
      <c r="AS236" s="25">
        <f t="shared" si="265"/>
        <v>0</v>
      </c>
      <c r="AT236" s="25">
        <f t="shared" si="266"/>
        <v>0</v>
      </c>
      <c r="AU236" s="29">
        <f t="shared" si="323"/>
        <v>0</v>
      </c>
      <c r="AV236" s="27">
        <f t="shared" si="293"/>
        <v>0</v>
      </c>
      <c r="AW236" s="27">
        <f t="shared" si="294"/>
        <v>0</v>
      </c>
      <c r="AX236" s="27">
        <f t="shared" si="295"/>
        <v>0</v>
      </c>
      <c r="AY236" s="27">
        <f t="shared" si="296"/>
        <v>0</v>
      </c>
      <c r="BH236" s="2">
        <f t="shared" si="297"/>
        <v>0</v>
      </c>
      <c r="BI236" s="298" t="str">
        <f t="shared" si="298"/>
        <v/>
      </c>
      <c r="BJ236" s="298" t="str">
        <f t="shared" si="267"/>
        <v/>
      </c>
      <c r="BQ236" s="4">
        <f t="shared" si="299"/>
        <v>45340</v>
      </c>
      <c r="BR236" s="112">
        <f t="shared" si="300"/>
        <v>0</v>
      </c>
      <c r="BS236" s="112">
        <f t="shared" si="301"/>
        <v>0</v>
      </c>
      <c r="BT236" s="112">
        <f t="shared" si="302"/>
        <v>0</v>
      </c>
      <c r="BU236" s="112">
        <f t="shared" si="303"/>
        <v>0</v>
      </c>
      <c r="BV236" s="112">
        <f t="shared" si="304"/>
        <v>0</v>
      </c>
      <c r="CI236" s="4">
        <f t="shared" si="305"/>
        <v>45340</v>
      </c>
      <c r="CJ236" s="50">
        <f ca="1">IF($BH236=0,IF($CO236="",CJ235+R236,IF('283'!$K$251=1,VLOOKUP($CO236,PerStBal,2)+R236,IF('283'!$K$253=1,(VLOOKUP($CO236,PerPortion,2)*VLOOKUP($CO236,PerStBal,6))+R236,GL!BS236))),0)</f>
        <v>0</v>
      </c>
      <c r="CK236" s="425">
        <f ca="1">IF($BH236=0,IF($CO236="",CK235+T236,IF('283'!$K$251=1,IF(mname2&lt;&gt;"",VLOOKUP($CO236,PerStBal,3)+T236,0),IF('283'!$K$253=1,(VLOOKUP($CO236,PerPortion,3)*VLOOKUP($CO236,PerStBal,6))+T236,GL!BT236))),0)</f>
        <v>0</v>
      </c>
      <c r="CL236" s="425">
        <f ca="1">IF($BH236=0,IF($CO236="",CL235+V236,IF('283'!$K$251=1,IF(mname3&lt;&gt;"",VLOOKUP($CO236,PerStBal,4)+V236,0),IF('283'!$K$253=1,(VLOOKUP($CO236,PerPortion,4)*VLOOKUP($CO236,PerStBal,6))+V236,GL!BU236))),0)</f>
        <v>0</v>
      </c>
      <c r="CM236" s="425">
        <f ca="1">IF($BH236=0,IF($CO236="",CM235+X236,IF('283'!$K$251=1,IF(mname4&lt;&gt;"",VLOOKUP($CO236,PerStBal,5)+X236,0),IF('283'!$K$253=1,(VLOOKUP($CO236,PerPortion,5)*VLOOKUP($CO236,PerStBal,6))+X236,GL!BV236))),0)</f>
        <v>0</v>
      </c>
      <c r="CN236" s="50">
        <f t="shared" ca="1" si="306"/>
        <v>0</v>
      </c>
      <c r="CO236" s="4" t="str">
        <f t="shared" ca="1" si="307"/>
        <v/>
      </c>
      <c r="CP236" s="377">
        <f t="shared" si="268"/>
        <v>0</v>
      </c>
      <c r="DI236" s="4">
        <f t="shared" si="308"/>
        <v>45340</v>
      </c>
      <c r="DJ236" s="112">
        <f t="shared" ca="1" si="309"/>
        <v>0</v>
      </c>
      <c r="DK236" s="112">
        <f t="shared" si="310"/>
        <v>0</v>
      </c>
      <c r="DL236" s="4">
        <f t="shared" si="311"/>
        <v>45340</v>
      </c>
      <c r="DM236" s="112">
        <f t="shared" ca="1" si="312"/>
        <v>0</v>
      </c>
      <c r="DN236" s="112">
        <f t="shared" si="313"/>
        <v>0</v>
      </c>
      <c r="DO236" s="4">
        <f t="shared" si="314"/>
        <v>45340</v>
      </c>
      <c r="DP236" s="112">
        <f t="shared" ca="1" si="315"/>
        <v>0</v>
      </c>
      <c r="DQ236" s="112">
        <f t="shared" si="316"/>
        <v>0</v>
      </c>
      <c r="DR236" s="4">
        <f t="shared" si="317"/>
        <v>45340</v>
      </c>
      <c r="DS236" s="112">
        <f t="shared" ca="1" si="318"/>
        <v>0</v>
      </c>
      <c r="DT236" s="112">
        <f t="shared" si="319"/>
        <v>0</v>
      </c>
      <c r="DU236" s="4">
        <f t="shared" si="320"/>
        <v>45340</v>
      </c>
      <c r="DV236" s="112">
        <f t="shared" si="321"/>
        <v>0</v>
      </c>
      <c r="DW236" s="112">
        <f t="shared" si="322"/>
        <v>0</v>
      </c>
    </row>
    <row r="237" spans="3:127" x14ac:dyDescent="0.25">
      <c r="C237" s="109" t="str">
        <f>IF(MID('283'!$F67,4,3)="1 P",IF($C90=YearStart,"",$C90),"")</f>
        <v/>
      </c>
      <c r="D237" s="110" t="str">
        <f>IF(MID('283'!$F67,4,3)="2 P",IF($C90=YearStart,"",$C90),"")</f>
        <v/>
      </c>
      <c r="E237" s="110" t="str">
        <f>IF(MID('283'!$F67,4,3)="3 P",IF($C90=YearStart,"",$C90),"")</f>
        <v/>
      </c>
      <c r="F237" s="111" t="str">
        <f>IF(MID('283'!$F67,4,3)="4 P",IF($C90=YearStart,"",$C90),"")</f>
        <v/>
      </c>
      <c r="I237" s="143" t="str">
        <f>IF(MID('283'!$F67,4,3)="1 A",IF($J90=YearStart,"",$J90),"")</f>
        <v/>
      </c>
      <c r="J237" s="144" t="str">
        <f>IF(MID('283'!$F67,4,3)="2 A",IF($J90=YearStart,"",$J90),"")</f>
        <v/>
      </c>
      <c r="K237" s="144" t="str">
        <f>IF(MID('283'!$F67,4,3)="3 A",IF($J90=YearStart,"",$J90),"")</f>
        <v/>
      </c>
      <c r="L237" s="145" t="str">
        <f>IF(MID('283'!$F67,4,3)="4 A",IF($J90=YearStart,"",$J90),"")</f>
        <v/>
      </c>
      <c r="Q237" s="4">
        <f t="shared" si="269"/>
        <v>45341</v>
      </c>
      <c r="R237" s="24">
        <f t="shared" si="270"/>
        <v>0</v>
      </c>
      <c r="S237" s="25">
        <f t="shared" si="271"/>
        <v>0</v>
      </c>
      <c r="T237" s="24">
        <f t="shared" si="272"/>
        <v>0</v>
      </c>
      <c r="U237" s="25">
        <f t="shared" si="273"/>
        <v>0</v>
      </c>
      <c r="V237" s="24">
        <f t="shared" si="274"/>
        <v>0</v>
      </c>
      <c r="W237" s="25">
        <f t="shared" si="275"/>
        <v>0</v>
      </c>
      <c r="X237" s="24">
        <f t="shared" si="276"/>
        <v>0</v>
      </c>
      <c r="Y237" s="26">
        <f t="shared" si="277"/>
        <v>0</v>
      </c>
      <c r="Z237" s="27">
        <f t="shared" si="278"/>
        <v>0</v>
      </c>
      <c r="AA237" s="28">
        <f t="shared" si="279"/>
        <v>45341</v>
      </c>
      <c r="AB237" s="24">
        <f t="shared" si="280"/>
        <v>0</v>
      </c>
      <c r="AC237" s="25">
        <f t="shared" si="281"/>
        <v>0</v>
      </c>
      <c r="AD237" s="28">
        <f t="shared" si="282"/>
        <v>45341</v>
      </c>
      <c r="AE237" s="24">
        <f t="shared" si="283"/>
        <v>0</v>
      </c>
      <c r="AF237" s="25">
        <f t="shared" si="284"/>
        <v>0</v>
      </c>
      <c r="AG237" s="28">
        <f t="shared" si="285"/>
        <v>45341</v>
      </c>
      <c r="AH237" s="24">
        <f t="shared" si="286"/>
        <v>0</v>
      </c>
      <c r="AI237" s="25">
        <f t="shared" si="287"/>
        <v>0</v>
      </c>
      <c r="AJ237" s="28">
        <f t="shared" si="288"/>
        <v>45341</v>
      </c>
      <c r="AK237" s="24">
        <f t="shared" si="289"/>
        <v>0</v>
      </c>
      <c r="AL237" s="25">
        <f t="shared" si="290"/>
        <v>0</v>
      </c>
      <c r="AM237" s="29">
        <f t="shared" si="291"/>
        <v>0</v>
      </c>
      <c r="AN237" s="28">
        <f t="shared" si="292"/>
        <v>45341</v>
      </c>
      <c r="AO237" s="373">
        <f t="shared" si="261"/>
        <v>0</v>
      </c>
      <c r="AP237" s="374">
        <f t="shared" si="262"/>
        <v>0</v>
      </c>
      <c r="AQ237" s="27">
        <f t="shared" si="263"/>
        <v>0</v>
      </c>
      <c r="AR237" s="25">
        <f t="shared" si="264"/>
        <v>0</v>
      </c>
      <c r="AS237" s="25">
        <f t="shared" si="265"/>
        <v>0</v>
      </c>
      <c r="AT237" s="25">
        <f t="shared" si="266"/>
        <v>0</v>
      </c>
      <c r="AU237" s="29">
        <f t="shared" si="323"/>
        <v>0</v>
      </c>
      <c r="AV237" s="27">
        <f t="shared" si="293"/>
        <v>0</v>
      </c>
      <c r="AW237" s="27">
        <f t="shared" si="294"/>
        <v>0</v>
      </c>
      <c r="AX237" s="27">
        <f t="shared" si="295"/>
        <v>0</v>
      </c>
      <c r="AY237" s="27">
        <f t="shared" si="296"/>
        <v>0</v>
      </c>
      <c r="BH237" s="2">
        <f t="shared" si="297"/>
        <v>0</v>
      </c>
      <c r="BI237" s="298" t="str">
        <f t="shared" si="298"/>
        <v/>
      </c>
      <c r="BJ237" s="298" t="str">
        <f t="shared" si="267"/>
        <v/>
      </c>
      <c r="BQ237" s="4">
        <f t="shared" si="299"/>
        <v>45341</v>
      </c>
      <c r="BR237" s="112">
        <f t="shared" si="300"/>
        <v>0</v>
      </c>
      <c r="BS237" s="112">
        <f t="shared" si="301"/>
        <v>0</v>
      </c>
      <c r="BT237" s="112">
        <f t="shared" si="302"/>
        <v>0</v>
      </c>
      <c r="BU237" s="112">
        <f t="shared" si="303"/>
        <v>0</v>
      </c>
      <c r="BV237" s="112">
        <f t="shared" si="304"/>
        <v>0</v>
      </c>
      <c r="CI237" s="4">
        <f t="shared" si="305"/>
        <v>45341</v>
      </c>
      <c r="CJ237" s="50">
        <f ca="1">IF($BH237=0,IF($CO237="",CJ236+R237,IF('283'!$K$251=1,VLOOKUP($CO237,PerStBal,2)+R237,IF('283'!$K$253=1,(VLOOKUP($CO237,PerPortion,2)*VLOOKUP($CO237,PerStBal,6))+R237,GL!BS237))),0)</f>
        <v>0</v>
      </c>
      <c r="CK237" s="425">
        <f ca="1">IF($BH237=0,IF($CO237="",CK236+T237,IF('283'!$K$251=1,IF(mname2&lt;&gt;"",VLOOKUP($CO237,PerStBal,3)+T237,0),IF('283'!$K$253=1,(VLOOKUP($CO237,PerPortion,3)*VLOOKUP($CO237,PerStBal,6))+T237,GL!BT237))),0)</f>
        <v>0</v>
      </c>
      <c r="CL237" s="425">
        <f ca="1">IF($BH237=0,IF($CO237="",CL236+V237,IF('283'!$K$251=1,IF(mname3&lt;&gt;"",VLOOKUP($CO237,PerStBal,4)+V237,0),IF('283'!$K$253=1,(VLOOKUP($CO237,PerPortion,4)*VLOOKUP($CO237,PerStBal,6))+V237,GL!BU237))),0)</f>
        <v>0</v>
      </c>
      <c r="CM237" s="425">
        <f ca="1">IF($BH237=0,IF($CO237="",CM236+X237,IF('283'!$K$251=1,IF(mname4&lt;&gt;"",VLOOKUP($CO237,PerStBal,5)+X237,0),IF('283'!$K$253=1,(VLOOKUP($CO237,PerPortion,5)*VLOOKUP($CO237,PerStBal,6))+X237,GL!BV237))),0)</f>
        <v>0</v>
      </c>
      <c r="CN237" s="50">
        <f t="shared" ca="1" si="306"/>
        <v>0</v>
      </c>
      <c r="CO237" s="4" t="str">
        <f t="shared" ca="1" si="307"/>
        <v/>
      </c>
      <c r="CP237" s="377">
        <f t="shared" si="268"/>
        <v>0</v>
      </c>
      <c r="DI237" s="4">
        <f t="shared" si="308"/>
        <v>45341</v>
      </c>
      <c r="DJ237" s="112">
        <f t="shared" ca="1" si="309"/>
        <v>0</v>
      </c>
      <c r="DK237" s="112">
        <f t="shared" si="310"/>
        <v>0</v>
      </c>
      <c r="DL237" s="4">
        <f t="shared" si="311"/>
        <v>45341</v>
      </c>
      <c r="DM237" s="112">
        <f t="shared" ca="1" si="312"/>
        <v>0</v>
      </c>
      <c r="DN237" s="112">
        <f t="shared" si="313"/>
        <v>0</v>
      </c>
      <c r="DO237" s="4">
        <f t="shared" si="314"/>
        <v>45341</v>
      </c>
      <c r="DP237" s="112">
        <f t="shared" ca="1" si="315"/>
        <v>0</v>
      </c>
      <c r="DQ237" s="112">
        <f t="shared" si="316"/>
        <v>0</v>
      </c>
      <c r="DR237" s="4">
        <f t="shared" si="317"/>
        <v>45341</v>
      </c>
      <c r="DS237" s="112">
        <f t="shared" ca="1" si="318"/>
        <v>0</v>
      </c>
      <c r="DT237" s="112">
        <f t="shared" si="319"/>
        <v>0</v>
      </c>
      <c r="DU237" s="4">
        <f t="shared" si="320"/>
        <v>45341</v>
      </c>
      <c r="DV237" s="112">
        <f t="shared" si="321"/>
        <v>0</v>
      </c>
      <c r="DW237" s="112">
        <f t="shared" si="322"/>
        <v>0</v>
      </c>
    </row>
    <row r="238" spans="3:127" x14ac:dyDescent="0.25">
      <c r="C238" s="109" t="str">
        <f>IF(MID('283'!$F68,4,3)="1 P",IF($C91=YearStart,"",$C91),"")</f>
        <v/>
      </c>
      <c r="D238" s="110" t="str">
        <f>IF(MID('283'!$F68,4,3)="2 P",IF($C91=YearStart,"",$C91),"")</f>
        <v/>
      </c>
      <c r="E238" s="110" t="str">
        <f>IF(MID('283'!$F68,4,3)="3 P",IF($C91=YearStart,"",$C91),"")</f>
        <v/>
      </c>
      <c r="F238" s="111" t="str">
        <f>IF(MID('283'!$F68,4,3)="4 P",IF($C91=YearStart,"",$C91),"")</f>
        <v/>
      </c>
      <c r="I238" s="143" t="str">
        <f>IF(MID('283'!$F68,4,3)="1 A",IF($J91=YearStart,"",$J91),"")</f>
        <v/>
      </c>
      <c r="J238" s="144" t="str">
        <f>IF(MID('283'!$F68,4,3)="2 A",IF($J91=YearStart,"",$J91),"")</f>
        <v/>
      </c>
      <c r="K238" s="144" t="str">
        <f>IF(MID('283'!$F68,4,3)="3 A",IF($J91=YearStart,"",$J91),"")</f>
        <v/>
      </c>
      <c r="L238" s="145" t="str">
        <f>IF(MID('283'!$F68,4,3)="4 A",IF($J91=YearStart,"",$J91),"")</f>
        <v/>
      </c>
      <c r="Q238" s="4">
        <f t="shared" si="269"/>
        <v>45342</v>
      </c>
      <c r="R238" s="24">
        <f t="shared" si="270"/>
        <v>0</v>
      </c>
      <c r="S238" s="25">
        <f t="shared" si="271"/>
        <v>0</v>
      </c>
      <c r="T238" s="24">
        <f t="shared" si="272"/>
        <v>0</v>
      </c>
      <c r="U238" s="25">
        <f t="shared" si="273"/>
        <v>0</v>
      </c>
      <c r="V238" s="24">
        <f t="shared" si="274"/>
        <v>0</v>
      </c>
      <c r="W238" s="25">
        <f t="shared" si="275"/>
        <v>0</v>
      </c>
      <c r="X238" s="24">
        <f t="shared" si="276"/>
        <v>0</v>
      </c>
      <c r="Y238" s="26">
        <f t="shared" si="277"/>
        <v>0</v>
      </c>
      <c r="Z238" s="27">
        <f t="shared" si="278"/>
        <v>0</v>
      </c>
      <c r="AA238" s="28">
        <f t="shared" si="279"/>
        <v>45342</v>
      </c>
      <c r="AB238" s="24">
        <f t="shared" si="280"/>
        <v>0</v>
      </c>
      <c r="AC238" s="25">
        <f t="shared" si="281"/>
        <v>0</v>
      </c>
      <c r="AD238" s="28">
        <f t="shared" si="282"/>
        <v>45342</v>
      </c>
      <c r="AE238" s="24">
        <f t="shared" si="283"/>
        <v>0</v>
      </c>
      <c r="AF238" s="25">
        <f t="shared" si="284"/>
        <v>0</v>
      </c>
      <c r="AG238" s="28">
        <f t="shared" si="285"/>
        <v>45342</v>
      </c>
      <c r="AH238" s="24">
        <f t="shared" si="286"/>
        <v>0</v>
      </c>
      <c r="AI238" s="25">
        <f t="shared" si="287"/>
        <v>0</v>
      </c>
      <c r="AJ238" s="28">
        <f t="shared" si="288"/>
        <v>45342</v>
      </c>
      <c r="AK238" s="24">
        <f t="shared" si="289"/>
        <v>0</v>
      </c>
      <c r="AL238" s="25">
        <f t="shared" si="290"/>
        <v>0</v>
      </c>
      <c r="AM238" s="29">
        <f t="shared" si="291"/>
        <v>0</v>
      </c>
      <c r="AN238" s="28">
        <f t="shared" si="292"/>
        <v>45342</v>
      </c>
      <c r="AO238" s="373">
        <f t="shared" si="261"/>
        <v>0</v>
      </c>
      <c r="AP238" s="374">
        <f t="shared" si="262"/>
        <v>0</v>
      </c>
      <c r="AQ238" s="27">
        <f t="shared" si="263"/>
        <v>0</v>
      </c>
      <c r="AR238" s="25">
        <f t="shared" si="264"/>
        <v>0</v>
      </c>
      <c r="AS238" s="25">
        <f t="shared" si="265"/>
        <v>0</v>
      </c>
      <c r="AT238" s="25">
        <f t="shared" si="266"/>
        <v>0</v>
      </c>
      <c r="AU238" s="29">
        <f t="shared" si="323"/>
        <v>0</v>
      </c>
      <c r="AV238" s="27">
        <f t="shared" si="293"/>
        <v>0</v>
      </c>
      <c r="AW238" s="27">
        <f t="shared" si="294"/>
        <v>0</v>
      </c>
      <c r="AX238" s="27">
        <f t="shared" si="295"/>
        <v>0</v>
      </c>
      <c r="AY238" s="27">
        <f t="shared" si="296"/>
        <v>0</v>
      </c>
      <c r="BH238" s="2">
        <f t="shared" si="297"/>
        <v>0</v>
      </c>
      <c r="BI238" s="298" t="str">
        <f t="shared" si="298"/>
        <v/>
      </c>
      <c r="BJ238" s="298" t="str">
        <f t="shared" si="267"/>
        <v/>
      </c>
      <c r="BQ238" s="4">
        <f t="shared" si="299"/>
        <v>45342</v>
      </c>
      <c r="BR238" s="112">
        <f t="shared" si="300"/>
        <v>0</v>
      </c>
      <c r="BS238" s="112">
        <f t="shared" si="301"/>
        <v>0</v>
      </c>
      <c r="BT238" s="112">
        <f t="shared" si="302"/>
        <v>0</v>
      </c>
      <c r="BU238" s="112">
        <f t="shared" si="303"/>
        <v>0</v>
      </c>
      <c r="BV238" s="112">
        <f t="shared" si="304"/>
        <v>0</v>
      </c>
      <c r="CI238" s="4">
        <f t="shared" si="305"/>
        <v>45342</v>
      </c>
      <c r="CJ238" s="50">
        <f ca="1">IF($BH238=0,IF($CO238="",CJ237+R238,IF('283'!$K$251=1,VLOOKUP($CO238,PerStBal,2)+R238,IF('283'!$K$253=1,(VLOOKUP($CO238,PerPortion,2)*VLOOKUP($CO238,PerStBal,6))+R238,GL!BS238))),0)</f>
        <v>0</v>
      </c>
      <c r="CK238" s="425">
        <f ca="1">IF($BH238=0,IF($CO238="",CK237+T238,IF('283'!$K$251=1,IF(mname2&lt;&gt;"",VLOOKUP($CO238,PerStBal,3)+T238,0),IF('283'!$K$253=1,(VLOOKUP($CO238,PerPortion,3)*VLOOKUP($CO238,PerStBal,6))+T238,GL!BT238))),0)</f>
        <v>0</v>
      </c>
      <c r="CL238" s="425">
        <f ca="1">IF($BH238=0,IF($CO238="",CL237+V238,IF('283'!$K$251=1,IF(mname3&lt;&gt;"",VLOOKUP($CO238,PerStBal,4)+V238,0),IF('283'!$K$253=1,(VLOOKUP($CO238,PerPortion,4)*VLOOKUP($CO238,PerStBal,6))+V238,GL!BU238))),0)</f>
        <v>0</v>
      </c>
      <c r="CM238" s="425">
        <f ca="1">IF($BH238=0,IF($CO238="",CM237+X238,IF('283'!$K$251=1,IF(mname4&lt;&gt;"",VLOOKUP($CO238,PerStBal,5)+X238,0),IF('283'!$K$253=1,(VLOOKUP($CO238,PerPortion,5)*VLOOKUP($CO238,PerStBal,6))+X238,GL!BV238))),0)</f>
        <v>0</v>
      </c>
      <c r="CN238" s="50">
        <f t="shared" ca="1" si="306"/>
        <v>0</v>
      </c>
      <c r="CO238" s="4" t="str">
        <f t="shared" ca="1" si="307"/>
        <v/>
      </c>
      <c r="CP238" s="377">
        <f t="shared" si="268"/>
        <v>0</v>
      </c>
      <c r="DI238" s="4">
        <f t="shared" si="308"/>
        <v>45342</v>
      </c>
      <c r="DJ238" s="112">
        <f t="shared" ca="1" si="309"/>
        <v>0</v>
      </c>
      <c r="DK238" s="112">
        <f t="shared" si="310"/>
        <v>0</v>
      </c>
      <c r="DL238" s="4">
        <f t="shared" si="311"/>
        <v>45342</v>
      </c>
      <c r="DM238" s="112">
        <f t="shared" ca="1" si="312"/>
        <v>0</v>
      </c>
      <c r="DN238" s="112">
        <f t="shared" si="313"/>
        <v>0</v>
      </c>
      <c r="DO238" s="4">
        <f t="shared" si="314"/>
        <v>45342</v>
      </c>
      <c r="DP238" s="112">
        <f t="shared" ca="1" si="315"/>
        <v>0</v>
      </c>
      <c r="DQ238" s="112">
        <f t="shared" si="316"/>
        <v>0</v>
      </c>
      <c r="DR238" s="4">
        <f t="shared" si="317"/>
        <v>45342</v>
      </c>
      <c r="DS238" s="112">
        <f t="shared" ca="1" si="318"/>
        <v>0</v>
      </c>
      <c r="DT238" s="112">
        <f t="shared" si="319"/>
        <v>0</v>
      </c>
      <c r="DU238" s="4">
        <f t="shared" si="320"/>
        <v>45342</v>
      </c>
      <c r="DV238" s="112">
        <f t="shared" si="321"/>
        <v>0</v>
      </c>
      <c r="DW238" s="112">
        <f t="shared" si="322"/>
        <v>0</v>
      </c>
    </row>
    <row r="239" spans="3:127" x14ac:dyDescent="0.25">
      <c r="C239" s="109" t="str">
        <f>IF(MID('283'!$F69,4,3)="1 P",IF($C92=YearStart,"",$C92),"")</f>
        <v/>
      </c>
      <c r="D239" s="110" t="str">
        <f>IF(MID('283'!$F69,4,3)="2 P",IF($C92=YearStart,"",$C92),"")</f>
        <v/>
      </c>
      <c r="E239" s="110" t="str">
        <f>IF(MID('283'!$F69,4,3)="3 P",IF($C92=YearStart,"",$C92),"")</f>
        <v/>
      </c>
      <c r="F239" s="111" t="str">
        <f>IF(MID('283'!$F69,4,3)="4 P",IF($C92=YearStart,"",$C92),"")</f>
        <v/>
      </c>
      <c r="I239" s="143" t="str">
        <f>IF(MID('283'!$F69,4,3)="1 A",IF($J92=YearStart,"",$J92),"")</f>
        <v/>
      </c>
      <c r="J239" s="144" t="str">
        <f>IF(MID('283'!$F69,4,3)="2 A",IF($J92=YearStart,"",$J92),"")</f>
        <v/>
      </c>
      <c r="K239" s="144" t="str">
        <f>IF(MID('283'!$F69,4,3)="3 A",IF($J92=YearStart,"",$J92),"")</f>
        <v/>
      </c>
      <c r="L239" s="145" t="str">
        <f>IF(MID('283'!$F69,4,3)="4 A",IF($J92=YearStart,"",$J92),"")</f>
        <v/>
      </c>
      <c r="Q239" s="4">
        <f t="shared" si="269"/>
        <v>45343</v>
      </c>
      <c r="R239" s="24">
        <f t="shared" si="270"/>
        <v>0</v>
      </c>
      <c r="S239" s="25">
        <f t="shared" si="271"/>
        <v>0</v>
      </c>
      <c r="T239" s="24">
        <f t="shared" si="272"/>
        <v>0</v>
      </c>
      <c r="U239" s="25">
        <f t="shared" si="273"/>
        <v>0</v>
      </c>
      <c r="V239" s="24">
        <f t="shared" si="274"/>
        <v>0</v>
      </c>
      <c r="W239" s="25">
        <f t="shared" si="275"/>
        <v>0</v>
      </c>
      <c r="X239" s="24">
        <f t="shared" si="276"/>
        <v>0</v>
      </c>
      <c r="Y239" s="26">
        <f t="shared" si="277"/>
        <v>0</v>
      </c>
      <c r="Z239" s="27">
        <f t="shared" si="278"/>
        <v>0</v>
      </c>
      <c r="AA239" s="28">
        <f t="shared" si="279"/>
        <v>45343</v>
      </c>
      <c r="AB239" s="24">
        <f t="shared" si="280"/>
        <v>0</v>
      </c>
      <c r="AC239" s="25">
        <f t="shared" si="281"/>
        <v>0</v>
      </c>
      <c r="AD239" s="28">
        <f t="shared" si="282"/>
        <v>45343</v>
      </c>
      <c r="AE239" s="24">
        <f t="shared" si="283"/>
        <v>0</v>
      </c>
      <c r="AF239" s="25">
        <f t="shared" si="284"/>
        <v>0</v>
      </c>
      <c r="AG239" s="28">
        <f t="shared" si="285"/>
        <v>45343</v>
      </c>
      <c r="AH239" s="24">
        <f t="shared" si="286"/>
        <v>0</v>
      </c>
      <c r="AI239" s="25">
        <f t="shared" si="287"/>
        <v>0</v>
      </c>
      <c r="AJ239" s="28">
        <f t="shared" si="288"/>
        <v>45343</v>
      </c>
      <c r="AK239" s="24">
        <f t="shared" si="289"/>
        <v>0</v>
      </c>
      <c r="AL239" s="25">
        <f t="shared" si="290"/>
        <v>0</v>
      </c>
      <c r="AM239" s="29">
        <f t="shared" si="291"/>
        <v>0</v>
      </c>
      <c r="AN239" s="28">
        <f t="shared" si="292"/>
        <v>45343</v>
      </c>
      <c r="AO239" s="373">
        <f t="shared" si="261"/>
        <v>0</v>
      </c>
      <c r="AP239" s="374">
        <f t="shared" si="262"/>
        <v>0</v>
      </c>
      <c r="AQ239" s="27">
        <f t="shared" si="263"/>
        <v>0</v>
      </c>
      <c r="AR239" s="25">
        <f t="shared" si="264"/>
        <v>0</v>
      </c>
      <c r="AS239" s="25">
        <f t="shared" si="265"/>
        <v>0</v>
      </c>
      <c r="AT239" s="25">
        <f t="shared" si="266"/>
        <v>0</v>
      </c>
      <c r="AU239" s="29">
        <f t="shared" si="323"/>
        <v>0</v>
      </c>
      <c r="AV239" s="27">
        <f t="shared" si="293"/>
        <v>0</v>
      </c>
      <c r="AW239" s="27">
        <f t="shared" si="294"/>
        <v>0</v>
      </c>
      <c r="AX239" s="27">
        <f t="shared" si="295"/>
        <v>0</v>
      </c>
      <c r="AY239" s="27">
        <f t="shared" si="296"/>
        <v>0</v>
      </c>
      <c r="BH239" s="2">
        <f t="shared" si="297"/>
        <v>0</v>
      </c>
      <c r="BI239" s="298" t="str">
        <f t="shared" si="298"/>
        <v/>
      </c>
      <c r="BJ239" s="298" t="str">
        <f t="shared" si="267"/>
        <v/>
      </c>
      <c r="BQ239" s="4">
        <f t="shared" si="299"/>
        <v>45343</v>
      </c>
      <c r="BR239" s="112">
        <f t="shared" si="300"/>
        <v>0</v>
      </c>
      <c r="BS239" s="112">
        <f t="shared" si="301"/>
        <v>0</v>
      </c>
      <c r="BT239" s="112">
        <f t="shared" si="302"/>
        <v>0</v>
      </c>
      <c r="BU239" s="112">
        <f t="shared" si="303"/>
        <v>0</v>
      </c>
      <c r="BV239" s="112">
        <f t="shared" si="304"/>
        <v>0</v>
      </c>
      <c r="CI239" s="4">
        <f t="shared" si="305"/>
        <v>45343</v>
      </c>
      <c r="CJ239" s="50">
        <f ca="1">IF($BH239=0,IF($CO239="",CJ238+R239,IF('283'!$K$251=1,VLOOKUP($CO239,PerStBal,2)+R239,IF('283'!$K$253=1,(VLOOKUP($CO239,PerPortion,2)*VLOOKUP($CO239,PerStBal,6))+R239,GL!BS239))),0)</f>
        <v>0</v>
      </c>
      <c r="CK239" s="425">
        <f ca="1">IF($BH239=0,IF($CO239="",CK238+T239,IF('283'!$K$251=1,IF(mname2&lt;&gt;"",VLOOKUP($CO239,PerStBal,3)+T239,0),IF('283'!$K$253=1,(VLOOKUP($CO239,PerPortion,3)*VLOOKUP($CO239,PerStBal,6))+T239,GL!BT239))),0)</f>
        <v>0</v>
      </c>
      <c r="CL239" s="425">
        <f ca="1">IF($BH239=0,IF($CO239="",CL238+V239,IF('283'!$K$251=1,IF(mname3&lt;&gt;"",VLOOKUP($CO239,PerStBal,4)+V239,0),IF('283'!$K$253=1,(VLOOKUP($CO239,PerPortion,4)*VLOOKUP($CO239,PerStBal,6))+V239,GL!BU239))),0)</f>
        <v>0</v>
      </c>
      <c r="CM239" s="425">
        <f ca="1">IF($BH239=0,IF($CO239="",CM238+X239,IF('283'!$K$251=1,IF(mname4&lt;&gt;"",VLOOKUP($CO239,PerStBal,5)+X239,0),IF('283'!$K$253=1,(VLOOKUP($CO239,PerPortion,5)*VLOOKUP($CO239,PerStBal,6))+X239,GL!BV239))),0)</f>
        <v>0</v>
      </c>
      <c r="CN239" s="50">
        <f t="shared" ca="1" si="306"/>
        <v>0</v>
      </c>
      <c r="CO239" s="4" t="str">
        <f t="shared" ca="1" si="307"/>
        <v/>
      </c>
      <c r="CP239" s="377">
        <f t="shared" si="268"/>
        <v>0</v>
      </c>
      <c r="DI239" s="4">
        <f t="shared" si="308"/>
        <v>45343</v>
      </c>
      <c r="DJ239" s="112">
        <f t="shared" ca="1" si="309"/>
        <v>0</v>
      </c>
      <c r="DK239" s="112">
        <f t="shared" si="310"/>
        <v>0</v>
      </c>
      <c r="DL239" s="4">
        <f t="shared" si="311"/>
        <v>45343</v>
      </c>
      <c r="DM239" s="112">
        <f t="shared" ca="1" si="312"/>
        <v>0</v>
      </c>
      <c r="DN239" s="112">
        <f t="shared" si="313"/>
        <v>0</v>
      </c>
      <c r="DO239" s="4">
        <f t="shared" si="314"/>
        <v>45343</v>
      </c>
      <c r="DP239" s="112">
        <f t="shared" ca="1" si="315"/>
        <v>0</v>
      </c>
      <c r="DQ239" s="112">
        <f t="shared" si="316"/>
        <v>0</v>
      </c>
      <c r="DR239" s="4">
        <f t="shared" si="317"/>
        <v>45343</v>
      </c>
      <c r="DS239" s="112">
        <f t="shared" ca="1" si="318"/>
        <v>0</v>
      </c>
      <c r="DT239" s="112">
        <f t="shared" si="319"/>
        <v>0</v>
      </c>
      <c r="DU239" s="4">
        <f t="shared" si="320"/>
        <v>45343</v>
      </c>
      <c r="DV239" s="112">
        <f t="shared" si="321"/>
        <v>0</v>
      </c>
      <c r="DW239" s="112">
        <f t="shared" si="322"/>
        <v>0</v>
      </c>
    </row>
    <row r="240" spans="3:127" x14ac:dyDescent="0.25">
      <c r="C240" s="109" t="str">
        <f>IF(MID('283'!$F70,4,3)="1 P",IF($C93=YearStart,"",$C93),"")</f>
        <v/>
      </c>
      <c r="D240" s="110" t="str">
        <f>IF(MID('283'!$F70,4,3)="2 P",IF($C93=YearStart,"",$C93),"")</f>
        <v/>
      </c>
      <c r="E240" s="110" t="str">
        <f>IF(MID('283'!$F70,4,3)="3 P",IF($C93=YearStart,"",$C93),"")</f>
        <v/>
      </c>
      <c r="F240" s="111" t="str">
        <f>IF(MID('283'!$F70,4,3)="4 P",IF($C93=YearStart,"",$C93),"")</f>
        <v/>
      </c>
      <c r="I240" s="143" t="str">
        <f>IF(MID('283'!$F70,4,3)="1 A",IF($J93=YearStart,"",$J93),"")</f>
        <v/>
      </c>
      <c r="J240" s="144" t="str">
        <f>IF(MID('283'!$F70,4,3)="2 A",IF($J93=YearStart,"",$J93),"")</f>
        <v/>
      </c>
      <c r="K240" s="144" t="str">
        <f>IF(MID('283'!$F70,4,3)="3 A",IF($J93=YearStart,"",$J93),"")</f>
        <v/>
      </c>
      <c r="L240" s="145" t="str">
        <f>IF(MID('283'!$F70,4,3)="4 A",IF($J93=YearStart,"",$J93),"")</f>
        <v/>
      </c>
      <c r="Q240" s="4">
        <f t="shared" si="269"/>
        <v>45344</v>
      </c>
      <c r="R240" s="24">
        <f t="shared" si="270"/>
        <v>0</v>
      </c>
      <c r="S240" s="25">
        <f t="shared" si="271"/>
        <v>0</v>
      </c>
      <c r="T240" s="24">
        <f t="shared" si="272"/>
        <v>0</v>
      </c>
      <c r="U240" s="25">
        <f t="shared" si="273"/>
        <v>0</v>
      </c>
      <c r="V240" s="24">
        <f t="shared" si="274"/>
        <v>0</v>
      </c>
      <c r="W240" s="25">
        <f t="shared" si="275"/>
        <v>0</v>
      </c>
      <c r="X240" s="24">
        <f t="shared" si="276"/>
        <v>0</v>
      </c>
      <c r="Y240" s="26">
        <f t="shared" si="277"/>
        <v>0</v>
      </c>
      <c r="Z240" s="27">
        <f t="shared" si="278"/>
        <v>0</v>
      </c>
      <c r="AA240" s="28">
        <f t="shared" si="279"/>
        <v>45344</v>
      </c>
      <c r="AB240" s="24">
        <f t="shared" si="280"/>
        <v>0</v>
      </c>
      <c r="AC240" s="25">
        <f t="shared" si="281"/>
        <v>0</v>
      </c>
      <c r="AD240" s="28">
        <f t="shared" si="282"/>
        <v>45344</v>
      </c>
      <c r="AE240" s="24">
        <f t="shared" si="283"/>
        <v>0</v>
      </c>
      <c r="AF240" s="25">
        <f t="shared" si="284"/>
        <v>0</v>
      </c>
      <c r="AG240" s="28">
        <f t="shared" si="285"/>
        <v>45344</v>
      </c>
      <c r="AH240" s="24">
        <f t="shared" si="286"/>
        <v>0</v>
      </c>
      <c r="AI240" s="25">
        <f t="shared" si="287"/>
        <v>0</v>
      </c>
      <c r="AJ240" s="28">
        <f t="shared" si="288"/>
        <v>45344</v>
      </c>
      <c r="AK240" s="24">
        <f t="shared" si="289"/>
        <v>0</v>
      </c>
      <c r="AL240" s="25">
        <f t="shared" si="290"/>
        <v>0</v>
      </c>
      <c r="AM240" s="29">
        <f t="shared" si="291"/>
        <v>0</v>
      </c>
      <c r="AN240" s="28">
        <f t="shared" si="292"/>
        <v>45344</v>
      </c>
      <c r="AO240" s="373">
        <f t="shared" si="261"/>
        <v>0</v>
      </c>
      <c r="AP240" s="374">
        <f t="shared" si="262"/>
        <v>0</v>
      </c>
      <c r="AQ240" s="27">
        <f t="shared" si="263"/>
        <v>0</v>
      </c>
      <c r="AR240" s="25">
        <f t="shared" si="264"/>
        <v>0</v>
      </c>
      <c r="AS240" s="25">
        <f t="shared" si="265"/>
        <v>0</v>
      </c>
      <c r="AT240" s="25">
        <f t="shared" si="266"/>
        <v>0</v>
      </c>
      <c r="AU240" s="29">
        <f t="shared" si="323"/>
        <v>0</v>
      </c>
      <c r="AV240" s="27">
        <f t="shared" si="293"/>
        <v>0</v>
      </c>
      <c r="AW240" s="27">
        <f t="shared" si="294"/>
        <v>0</v>
      </c>
      <c r="AX240" s="27">
        <f t="shared" si="295"/>
        <v>0</v>
      </c>
      <c r="AY240" s="27">
        <f t="shared" si="296"/>
        <v>0</v>
      </c>
      <c r="BH240" s="2">
        <f t="shared" si="297"/>
        <v>0</v>
      </c>
      <c r="BI240" s="298" t="str">
        <f t="shared" si="298"/>
        <v/>
      </c>
      <c r="BJ240" s="298" t="str">
        <f t="shared" si="267"/>
        <v/>
      </c>
      <c r="BQ240" s="4">
        <f t="shared" si="299"/>
        <v>45344</v>
      </c>
      <c r="BR240" s="112">
        <f t="shared" si="300"/>
        <v>0</v>
      </c>
      <c r="BS240" s="112">
        <f t="shared" si="301"/>
        <v>0</v>
      </c>
      <c r="BT240" s="112">
        <f t="shared" si="302"/>
        <v>0</v>
      </c>
      <c r="BU240" s="112">
        <f t="shared" si="303"/>
        <v>0</v>
      </c>
      <c r="BV240" s="112">
        <f t="shared" si="304"/>
        <v>0</v>
      </c>
      <c r="CI240" s="4">
        <f t="shared" si="305"/>
        <v>45344</v>
      </c>
      <c r="CJ240" s="50">
        <f ca="1">IF($BH240=0,IF($CO240="",CJ239+R240,IF('283'!$K$251=1,VLOOKUP($CO240,PerStBal,2)+R240,IF('283'!$K$253=1,(VLOOKUP($CO240,PerPortion,2)*VLOOKUP($CO240,PerStBal,6))+R240,GL!BS240))),0)</f>
        <v>0</v>
      </c>
      <c r="CK240" s="425">
        <f ca="1">IF($BH240=0,IF($CO240="",CK239+T240,IF('283'!$K$251=1,IF(mname2&lt;&gt;"",VLOOKUP($CO240,PerStBal,3)+T240,0),IF('283'!$K$253=1,(VLOOKUP($CO240,PerPortion,3)*VLOOKUP($CO240,PerStBal,6))+T240,GL!BT240))),0)</f>
        <v>0</v>
      </c>
      <c r="CL240" s="425">
        <f ca="1">IF($BH240=0,IF($CO240="",CL239+V240,IF('283'!$K$251=1,IF(mname3&lt;&gt;"",VLOOKUP($CO240,PerStBal,4)+V240,0),IF('283'!$K$253=1,(VLOOKUP($CO240,PerPortion,4)*VLOOKUP($CO240,PerStBal,6))+V240,GL!BU240))),0)</f>
        <v>0</v>
      </c>
      <c r="CM240" s="425">
        <f ca="1">IF($BH240=0,IF($CO240="",CM239+X240,IF('283'!$K$251=1,IF(mname4&lt;&gt;"",VLOOKUP($CO240,PerStBal,5)+X240,0),IF('283'!$K$253=1,(VLOOKUP($CO240,PerPortion,5)*VLOOKUP($CO240,PerStBal,6))+X240,GL!BV240))),0)</f>
        <v>0</v>
      </c>
      <c r="CN240" s="50">
        <f t="shared" ca="1" si="306"/>
        <v>0</v>
      </c>
      <c r="CO240" s="4" t="str">
        <f t="shared" ca="1" si="307"/>
        <v/>
      </c>
      <c r="CP240" s="377">
        <f t="shared" si="268"/>
        <v>0</v>
      </c>
      <c r="DI240" s="4">
        <f t="shared" si="308"/>
        <v>45344</v>
      </c>
      <c r="DJ240" s="112">
        <f t="shared" ca="1" si="309"/>
        <v>0</v>
      </c>
      <c r="DK240" s="112">
        <f t="shared" si="310"/>
        <v>0</v>
      </c>
      <c r="DL240" s="4">
        <f t="shared" si="311"/>
        <v>45344</v>
      </c>
      <c r="DM240" s="112">
        <f t="shared" ca="1" si="312"/>
        <v>0</v>
      </c>
      <c r="DN240" s="112">
        <f t="shared" si="313"/>
        <v>0</v>
      </c>
      <c r="DO240" s="4">
        <f t="shared" si="314"/>
        <v>45344</v>
      </c>
      <c r="DP240" s="112">
        <f t="shared" ca="1" si="315"/>
        <v>0</v>
      </c>
      <c r="DQ240" s="112">
        <f t="shared" si="316"/>
        <v>0</v>
      </c>
      <c r="DR240" s="4">
        <f t="shared" si="317"/>
        <v>45344</v>
      </c>
      <c r="DS240" s="112">
        <f t="shared" ca="1" si="318"/>
        <v>0</v>
      </c>
      <c r="DT240" s="112">
        <f t="shared" si="319"/>
        <v>0</v>
      </c>
      <c r="DU240" s="4">
        <f t="shared" si="320"/>
        <v>45344</v>
      </c>
      <c r="DV240" s="112">
        <f t="shared" si="321"/>
        <v>0</v>
      </c>
      <c r="DW240" s="112">
        <f t="shared" si="322"/>
        <v>0</v>
      </c>
    </row>
    <row r="241" spans="3:127" x14ac:dyDescent="0.25">
      <c r="C241" s="114" t="str">
        <f>IF(MID('283'!$F71,4,3)="1 P",IF($C94=YearStart,"",$C94),"")</f>
        <v/>
      </c>
      <c r="D241" s="115" t="str">
        <f>IF(MID('283'!$F71,4,3)="2 P",IF($C94=YearStart,"",$C94),"")</f>
        <v/>
      </c>
      <c r="E241" s="115" t="str">
        <f>IF(MID('283'!$F71,4,3)="3 P",IF($C94=YearStart,"",$C94),"")</f>
        <v/>
      </c>
      <c r="F241" s="116" t="str">
        <f>IF(MID('283'!$F71,4,3)="4 P",IF($C94=YearStart,"",$C94),"")</f>
        <v/>
      </c>
      <c r="I241" s="146" t="str">
        <f>IF(MID('283'!$F71,4,3)="1 A",IF($J94=YearStart,"",$J94),"")</f>
        <v/>
      </c>
      <c r="J241" s="147" t="str">
        <f>IF(MID('283'!$F71,4,3)="2 A",IF($J94=YearStart,"",$J94),"")</f>
        <v/>
      </c>
      <c r="K241" s="147" t="str">
        <f>IF(MID('283'!$F71,4,3)="3 A",IF($J94=YearStart,"",$J94),"")</f>
        <v/>
      </c>
      <c r="L241" s="148" t="str">
        <f>IF(MID('283'!$F71,4,3)="4 A",IF($J94=YearStart,"",$J94),"")</f>
        <v/>
      </c>
      <c r="Q241" s="4">
        <f t="shared" si="269"/>
        <v>45345</v>
      </c>
      <c r="R241" s="24">
        <f t="shared" si="270"/>
        <v>0</v>
      </c>
      <c r="S241" s="25">
        <f t="shared" si="271"/>
        <v>0</v>
      </c>
      <c r="T241" s="24">
        <f t="shared" si="272"/>
        <v>0</v>
      </c>
      <c r="U241" s="25">
        <f t="shared" si="273"/>
        <v>0</v>
      </c>
      <c r="V241" s="24">
        <f t="shared" si="274"/>
        <v>0</v>
      </c>
      <c r="W241" s="25">
        <f t="shared" si="275"/>
        <v>0</v>
      </c>
      <c r="X241" s="24">
        <f t="shared" si="276"/>
        <v>0</v>
      </c>
      <c r="Y241" s="26">
        <f t="shared" si="277"/>
        <v>0</v>
      </c>
      <c r="Z241" s="27">
        <f t="shared" si="278"/>
        <v>0</v>
      </c>
      <c r="AA241" s="28">
        <f t="shared" si="279"/>
        <v>45345</v>
      </c>
      <c r="AB241" s="24">
        <f t="shared" si="280"/>
        <v>0</v>
      </c>
      <c r="AC241" s="25">
        <f t="shared" si="281"/>
        <v>0</v>
      </c>
      <c r="AD241" s="28">
        <f t="shared" si="282"/>
        <v>45345</v>
      </c>
      <c r="AE241" s="24">
        <f t="shared" si="283"/>
        <v>0</v>
      </c>
      <c r="AF241" s="25">
        <f t="shared" si="284"/>
        <v>0</v>
      </c>
      <c r="AG241" s="28">
        <f t="shared" si="285"/>
        <v>45345</v>
      </c>
      <c r="AH241" s="24">
        <f t="shared" si="286"/>
        <v>0</v>
      </c>
      <c r="AI241" s="25">
        <f t="shared" si="287"/>
        <v>0</v>
      </c>
      <c r="AJ241" s="28">
        <f t="shared" si="288"/>
        <v>45345</v>
      </c>
      <c r="AK241" s="24">
        <f t="shared" si="289"/>
        <v>0</v>
      </c>
      <c r="AL241" s="25">
        <f t="shared" si="290"/>
        <v>0</v>
      </c>
      <c r="AM241" s="29">
        <f t="shared" si="291"/>
        <v>0</v>
      </c>
      <c r="AN241" s="28">
        <f t="shared" si="292"/>
        <v>45345</v>
      </c>
      <c r="AO241" s="373">
        <f t="shared" si="261"/>
        <v>0</v>
      </c>
      <c r="AP241" s="374">
        <f t="shared" si="262"/>
        <v>0</v>
      </c>
      <c r="AQ241" s="27">
        <f t="shared" si="263"/>
        <v>0</v>
      </c>
      <c r="AR241" s="25">
        <f t="shared" si="264"/>
        <v>0</v>
      </c>
      <c r="AS241" s="25">
        <f t="shared" si="265"/>
        <v>0</v>
      </c>
      <c r="AT241" s="25">
        <f t="shared" si="266"/>
        <v>0</v>
      </c>
      <c r="AU241" s="29">
        <f t="shared" si="323"/>
        <v>0</v>
      </c>
      <c r="AV241" s="27">
        <f t="shared" si="293"/>
        <v>0</v>
      </c>
      <c r="AW241" s="27">
        <f t="shared" si="294"/>
        <v>0</v>
      </c>
      <c r="AX241" s="27">
        <f t="shared" si="295"/>
        <v>0</v>
      </c>
      <c r="AY241" s="27">
        <f t="shared" si="296"/>
        <v>0</v>
      </c>
      <c r="BH241" s="2">
        <f t="shared" si="297"/>
        <v>0</v>
      </c>
      <c r="BI241" s="298" t="str">
        <f t="shared" si="298"/>
        <v/>
      </c>
      <c r="BJ241" s="298" t="str">
        <f t="shared" si="267"/>
        <v/>
      </c>
      <c r="BQ241" s="4">
        <f t="shared" si="299"/>
        <v>45345</v>
      </c>
      <c r="BR241" s="112">
        <f t="shared" si="300"/>
        <v>0</v>
      </c>
      <c r="BS241" s="112">
        <f t="shared" si="301"/>
        <v>0</v>
      </c>
      <c r="BT241" s="112">
        <f t="shared" si="302"/>
        <v>0</v>
      </c>
      <c r="BU241" s="112">
        <f t="shared" si="303"/>
        <v>0</v>
      </c>
      <c r="BV241" s="112">
        <f t="shared" si="304"/>
        <v>0</v>
      </c>
      <c r="CI241" s="4">
        <f t="shared" si="305"/>
        <v>45345</v>
      </c>
      <c r="CJ241" s="50">
        <f ca="1">IF($BH241=0,IF($CO241="",CJ240+R241,IF('283'!$K$251=1,VLOOKUP($CO241,PerStBal,2)+R241,IF('283'!$K$253=1,(VLOOKUP($CO241,PerPortion,2)*VLOOKUP($CO241,PerStBal,6))+R241,GL!BS241))),0)</f>
        <v>0</v>
      </c>
      <c r="CK241" s="425">
        <f ca="1">IF($BH241=0,IF($CO241="",CK240+T241,IF('283'!$K$251=1,IF(mname2&lt;&gt;"",VLOOKUP($CO241,PerStBal,3)+T241,0),IF('283'!$K$253=1,(VLOOKUP($CO241,PerPortion,3)*VLOOKUP($CO241,PerStBal,6))+T241,GL!BT241))),0)</f>
        <v>0</v>
      </c>
      <c r="CL241" s="425">
        <f ca="1">IF($BH241=0,IF($CO241="",CL240+V241,IF('283'!$K$251=1,IF(mname3&lt;&gt;"",VLOOKUP($CO241,PerStBal,4)+V241,0),IF('283'!$K$253=1,(VLOOKUP($CO241,PerPortion,4)*VLOOKUP($CO241,PerStBal,6))+V241,GL!BU241))),0)</f>
        <v>0</v>
      </c>
      <c r="CM241" s="425">
        <f ca="1">IF($BH241=0,IF($CO241="",CM240+X241,IF('283'!$K$251=1,IF(mname4&lt;&gt;"",VLOOKUP($CO241,PerStBal,5)+X241,0),IF('283'!$K$253=1,(VLOOKUP($CO241,PerPortion,5)*VLOOKUP($CO241,PerStBal,6))+X241,GL!BV241))),0)</f>
        <v>0</v>
      </c>
      <c r="CN241" s="50">
        <f t="shared" ca="1" si="306"/>
        <v>0</v>
      </c>
      <c r="CO241" s="4" t="str">
        <f t="shared" ca="1" si="307"/>
        <v/>
      </c>
      <c r="CP241" s="377">
        <f t="shared" si="268"/>
        <v>0</v>
      </c>
      <c r="DI241" s="4">
        <f t="shared" si="308"/>
        <v>45345</v>
      </c>
      <c r="DJ241" s="112">
        <f t="shared" ca="1" si="309"/>
        <v>0</v>
      </c>
      <c r="DK241" s="112">
        <f t="shared" si="310"/>
        <v>0</v>
      </c>
      <c r="DL241" s="4">
        <f t="shared" si="311"/>
        <v>45345</v>
      </c>
      <c r="DM241" s="112">
        <f t="shared" ca="1" si="312"/>
        <v>0</v>
      </c>
      <c r="DN241" s="112">
        <f t="shared" si="313"/>
        <v>0</v>
      </c>
      <c r="DO241" s="4">
        <f t="shared" si="314"/>
        <v>45345</v>
      </c>
      <c r="DP241" s="112">
        <f t="shared" ca="1" si="315"/>
        <v>0</v>
      </c>
      <c r="DQ241" s="112">
        <f t="shared" si="316"/>
        <v>0</v>
      </c>
      <c r="DR241" s="4">
        <f t="shared" si="317"/>
        <v>45345</v>
      </c>
      <c r="DS241" s="112">
        <f t="shared" ca="1" si="318"/>
        <v>0</v>
      </c>
      <c r="DT241" s="112">
        <f t="shared" si="319"/>
        <v>0</v>
      </c>
      <c r="DU241" s="4">
        <f t="shared" si="320"/>
        <v>45345</v>
      </c>
      <c r="DV241" s="112">
        <f t="shared" si="321"/>
        <v>0</v>
      </c>
      <c r="DW241" s="112">
        <f t="shared" si="322"/>
        <v>0</v>
      </c>
    </row>
    <row r="242" spans="3:127" x14ac:dyDescent="0.25">
      <c r="C242" s="109" t="str">
        <f>IF(MID('283'!$E62,4,3)="1 P",$C85,"")</f>
        <v/>
      </c>
      <c r="D242" s="110" t="str">
        <f>IF(MID('283'!$E62,4,3)="2 P",$C85,"")</f>
        <v/>
      </c>
      <c r="E242" s="110" t="str">
        <f>IF(MID('283'!$E62,4,3)="3 P",$C85,"")</f>
        <v/>
      </c>
      <c r="F242" s="111" t="str">
        <f>IF(MID('283'!$E62,4,3)="4 P",$C85,"")</f>
        <v/>
      </c>
      <c r="I242" s="140" t="str">
        <f>IF(MID('283'!$E62,4,3)="1 A",$J85,"")</f>
        <v/>
      </c>
      <c r="J242" s="141" t="str">
        <f>IF(MID('283'!$E62,4,3)="2 A",$J85,"")</f>
        <v/>
      </c>
      <c r="K242" s="141" t="str">
        <f>IF(MID('283'!$E62,4,3)="3 A",$J85,"")</f>
        <v/>
      </c>
      <c r="L242" s="142" t="str">
        <f>IF(MID('283'!$E62,4,3)="4 A",$J85,"")</f>
        <v/>
      </c>
      <c r="Q242" s="4">
        <f t="shared" si="269"/>
        <v>45346</v>
      </c>
      <c r="R242" s="24">
        <f t="shared" si="270"/>
        <v>0</v>
      </c>
      <c r="S242" s="25">
        <f t="shared" si="271"/>
        <v>0</v>
      </c>
      <c r="T242" s="24">
        <f t="shared" si="272"/>
        <v>0</v>
      </c>
      <c r="U242" s="25">
        <f t="shared" si="273"/>
        <v>0</v>
      </c>
      <c r="V242" s="24">
        <f t="shared" si="274"/>
        <v>0</v>
      </c>
      <c r="W242" s="25">
        <f t="shared" si="275"/>
        <v>0</v>
      </c>
      <c r="X242" s="24">
        <f t="shared" si="276"/>
        <v>0</v>
      </c>
      <c r="Y242" s="26">
        <f t="shared" si="277"/>
        <v>0</v>
      </c>
      <c r="Z242" s="27">
        <f t="shared" si="278"/>
        <v>0</v>
      </c>
      <c r="AA242" s="28">
        <f t="shared" si="279"/>
        <v>45346</v>
      </c>
      <c r="AB242" s="24">
        <f t="shared" si="280"/>
        <v>0</v>
      </c>
      <c r="AC242" s="25">
        <f t="shared" si="281"/>
        <v>0</v>
      </c>
      <c r="AD242" s="28">
        <f t="shared" si="282"/>
        <v>45346</v>
      </c>
      <c r="AE242" s="24">
        <f t="shared" si="283"/>
        <v>0</v>
      </c>
      <c r="AF242" s="25">
        <f t="shared" si="284"/>
        <v>0</v>
      </c>
      <c r="AG242" s="28">
        <f t="shared" si="285"/>
        <v>45346</v>
      </c>
      <c r="AH242" s="24">
        <f t="shared" si="286"/>
        <v>0</v>
      </c>
      <c r="AI242" s="25">
        <f t="shared" si="287"/>
        <v>0</v>
      </c>
      <c r="AJ242" s="28">
        <f t="shared" si="288"/>
        <v>45346</v>
      </c>
      <c r="AK242" s="24">
        <f t="shared" si="289"/>
        <v>0</v>
      </c>
      <c r="AL242" s="25">
        <f t="shared" si="290"/>
        <v>0</v>
      </c>
      <c r="AM242" s="29">
        <f t="shared" si="291"/>
        <v>0</v>
      </c>
      <c r="AN242" s="28">
        <f t="shared" si="292"/>
        <v>45346</v>
      </c>
      <c r="AO242" s="373">
        <f t="shared" si="261"/>
        <v>0</v>
      </c>
      <c r="AP242" s="374">
        <f t="shared" si="262"/>
        <v>0</v>
      </c>
      <c r="AQ242" s="27">
        <f t="shared" si="263"/>
        <v>0</v>
      </c>
      <c r="AR242" s="25">
        <f t="shared" si="264"/>
        <v>0</v>
      </c>
      <c r="AS242" s="25">
        <f t="shared" si="265"/>
        <v>0</v>
      </c>
      <c r="AT242" s="25">
        <f t="shared" si="266"/>
        <v>0</v>
      </c>
      <c r="AU242" s="29">
        <f t="shared" si="323"/>
        <v>0</v>
      </c>
      <c r="AV242" s="27">
        <f t="shared" si="293"/>
        <v>0</v>
      </c>
      <c r="AW242" s="27">
        <f t="shared" si="294"/>
        <v>0</v>
      </c>
      <c r="AX242" s="27">
        <f t="shared" si="295"/>
        <v>0</v>
      </c>
      <c r="AY242" s="27">
        <f t="shared" si="296"/>
        <v>0</v>
      </c>
      <c r="BH242" s="2">
        <f t="shared" si="297"/>
        <v>0</v>
      </c>
      <c r="BI242" s="298" t="str">
        <f t="shared" si="298"/>
        <v/>
      </c>
      <c r="BJ242" s="298" t="str">
        <f t="shared" si="267"/>
        <v/>
      </c>
      <c r="BQ242" s="4">
        <f t="shared" si="299"/>
        <v>45346</v>
      </c>
      <c r="BR242" s="112">
        <f t="shared" si="300"/>
        <v>0</v>
      </c>
      <c r="BS242" s="112">
        <f t="shared" si="301"/>
        <v>0</v>
      </c>
      <c r="BT242" s="112">
        <f t="shared" si="302"/>
        <v>0</v>
      </c>
      <c r="BU242" s="112">
        <f t="shared" si="303"/>
        <v>0</v>
      </c>
      <c r="BV242" s="112">
        <f t="shared" si="304"/>
        <v>0</v>
      </c>
      <c r="CI242" s="4">
        <f t="shared" si="305"/>
        <v>45346</v>
      </c>
      <c r="CJ242" s="50">
        <f ca="1">IF($BH242=0,IF($CO242="",CJ241+R242,IF('283'!$K$251=1,VLOOKUP($CO242,PerStBal,2)+R242,IF('283'!$K$253=1,(VLOOKUP($CO242,PerPortion,2)*VLOOKUP($CO242,PerStBal,6))+R242,GL!BS242))),0)</f>
        <v>0</v>
      </c>
      <c r="CK242" s="425">
        <f ca="1">IF($BH242=0,IF($CO242="",CK241+T242,IF('283'!$K$251=1,IF(mname2&lt;&gt;"",VLOOKUP($CO242,PerStBal,3)+T242,0),IF('283'!$K$253=1,(VLOOKUP($CO242,PerPortion,3)*VLOOKUP($CO242,PerStBal,6))+T242,GL!BT242))),0)</f>
        <v>0</v>
      </c>
      <c r="CL242" s="425">
        <f ca="1">IF($BH242=0,IF($CO242="",CL241+V242,IF('283'!$K$251=1,IF(mname3&lt;&gt;"",VLOOKUP($CO242,PerStBal,4)+V242,0),IF('283'!$K$253=1,(VLOOKUP($CO242,PerPortion,4)*VLOOKUP($CO242,PerStBal,6))+V242,GL!BU242))),0)</f>
        <v>0</v>
      </c>
      <c r="CM242" s="425">
        <f ca="1">IF($BH242=0,IF($CO242="",CM241+X242,IF('283'!$K$251=1,IF(mname4&lt;&gt;"",VLOOKUP($CO242,PerStBal,5)+X242,0),IF('283'!$K$253=1,(VLOOKUP($CO242,PerPortion,5)*VLOOKUP($CO242,PerStBal,6))+X242,GL!BV242))),0)</f>
        <v>0</v>
      </c>
      <c r="CN242" s="50">
        <f t="shared" ca="1" si="306"/>
        <v>0</v>
      </c>
      <c r="CO242" s="4" t="str">
        <f t="shared" ca="1" si="307"/>
        <v/>
      </c>
      <c r="CP242" s="377">
        <f t="shared" si="268"/>
        <v>0</v>
      </c>
      <c r="DI242" s="4">
        <f t="shared" si="308"/>
        <v>45346</v>
      </c>
      <c r="DJ242" s="112">
        <f t="shared" ca="1" si="309"/>
        <v>0</v>
      </c>
      <c r="DK242" s="112">
        <f t="shared" si="310"/>
        <v>0</v>
      </c>
      <c r="DL242" s="4">
        <f t="shared" si="311"/>
        <v>45346</v>
      </c>
      <c r="DM242" s="112">
        <f t="shared" ca="1" si="312"/>
        <v>0</v>
      </c>
      <c r="DN242" s="112">
        <f t="shared" si="313"/>
        <v>0</v>
      </c>
      <c r="DO242" s="4">
        <f t="shared" si="314"/>
        <v>45346</v>
      </c>
      <c r="DP242" s="112">
        <f t="shared" ca="1" si="315"/>
        <v>0</v>
      </c>
      <c r="DQ242" s="112">
        <f t="shared" si="316"/>
        <v>0</v>
      </c>
      <c r="DR242" s="4">
        <f t="shared" si="317"/>
        <v>45346</v>
      </c>
      <c r="DS242" s="112">
        <f t="shared" ca="1" si="318"/>
        <v>0</v>
      </c>
      <c r="DT242" s="112">
        <f t="shared" si="319"/>
        <v>0</v>
      </c>
      <c r="DU242" s="4">
        <f t="shared" si="320"/>
        <v>45346</v>
      </c>
      <c r="DV242" s="112">
        <f t="shared" si="321"/>
        <v>0</v>
      </c>
      <c r="DW242" s="112">
        <f t="shared" si="322"/>
        <v>0</v>
      </c>
    </row>
    <row r="243" spans="3:127" x14ac:dyDescent="0.25">
      <c r="C243" s="109" t="str">
        <f>IF(MID('283'!$E63,4,3)="1 P",$C86,"")</f>
        <v/>
      </c>
      <c r="D243" s="110" t="str">
        <f>IF(MID('283'!$E63,4,3)="2 P",$C86,"")</f>
        <v/>
      </c>
      <c r="E243" s="110" t="str">
        <f>IF(MID('283'!$E63,4,3)="3 P",$C86,"")</f>
        <v/>
      </c>
      <c r="F243" s="111" t="str">
        <f>IF(MID('283'!$E63,4,3)="4 P",$C86,"")</f>
        <v/>
      </c>
      <c r="I243" s="143" t="str">
        <f>IF(MID('283'!$E63,4,3)="1 A",$J86,"")</f>
        <v/>
      </c>
      <c r="J243" s="144" t="str">
        <f>IF(MID('283'!$E63,4,3)="2 A",$J86,"")</f>
        <v/>
      </c>
      <c r="K243" s="144" t="str">
        <f>IF(MID('283'!$E63,4,3)="3 A",$J86,"")</f>
        <v/>
      </c>
      <c r="L243" s="145" t="str">
        <f>IF(MID('283'!$E63,4,3)="4 A",$J86,"")</f>
        <v/>
      </c>
      <c r="Q243" s="4">
        <f t="shared" si="269"/>
        <v>45347</v>
      </c>
      <c r="R243" s="24">
        <f t="shared" si="270"/>
        <v>0</v>
      </c>
      <c r="S243" s="25">
        <f t="shared" si="271"/>
        <v>0</v>
      </c>
      <c r="T243" s="24">
        <f t="shared" si="272"/>
        <v>0</v>
      </c>
      <c r="U243" s="25">
        <f t="shared" si="273"/>
        <v>0</v>
      </c>
      <c r="V243" s="24">
        <f t="shared" si="274"/>
        <v>0</v>
      </c>
      <c r="W243" s="25">
        <f t="shared" si="275"/>
        <v>0</v>
      </c>
      <c r="X243" s="24">
        <f t="shared" si="276"/>
        <v>0</v>
      </c>
      <c r="Y243" s="26">
        <f t="shared" si="277"/>
        <v>0</v>
      </c>
      <c r="Z243" s="27">
        <f t="shared" si="278"/>
        <v>0</v>
      </c>
      <c r="AA243" s="28">
        <f t="shared" si="279"/>
        <v>45347</v>
      </c>
      <c r="AB243" s="24">
        <f t="shared" si="280"/>
        <v>0</v>
      </c>
      <c r="AC243" s="25">
        <f t="shared" si="281"/>
        <v>0</v>
      </c>
      <c r="AD243" s="28">
        <f t="shared" si="282"/>
        <v>45347</v>
      </c>
      <c r="AE243" s="24">
        <f t="shared" si="283"/>
        <v>0</v>
      </c>
      <c r="AF243" s="25">
        <f t="shared" si="284"/>
        <v>0</v>
      </c>
      <c r="AG243" s="28">
        <f t="shared" si="285"/>
        <v>45347</v>
      </c>
      <c r="AH243" s="24">
        <f t="shared" si="286"/>
        <v>0</v>
      </c>
      <c r="AI243" s="25">
        <f t="shared" si="287"/>
        <v>0</v>
      </c>
      <c r="AJ243" s="28">
        <f t="shared" si="288"/>
        <v>45347</v>
      </c>
      <c r="AK243" s="24">
        <f t="shared" si="289"/>
        <v>0</v>
      </c>
      <c r="AL243" s="25">
        <f t="shared" si="290"/>
        <v>0</v>
      </c>
      <c r="AM243" s="29">
        <f t="shared" si="291"/>
        <v>0</v>
      </c>
      <c r="AN243" s="28">
        <f t="shared" si="292"/>
        <v>45347</v>
      </c>
      <c r="AO243" s="373">
        <f t="shared" si="261"/>
        <v>0</v>
      </c>
      <c r="AP243" s="374">
        <f t="shared" si="262"/>
        <v>0</v>
      </c>
      <c r="AQ243" s="27">
        <f t="shared" si="263"/>
        <v>0</v>
      </c>
      <c r="AR243" s="25">
        <f t="shared" si="264"/>
        <v>0</v>
      </c>
      <c r="AS243" s="25">
        <f t="shared" si="265"/>
        <v>0</v>
      </c>
      <c r="AT243" s="25">
        <f t="shared" si="266"/>
        <v>0</v>
      </c>
      <c r="AU243" s="29">
        <f t="shared" si="323"/>
        <v>0</v>
      </c>
      <c r="AV243" s="27">
        <f t="shared" si="293"/>
        <v>0</v>
      </c>
      <c r="AW243" s="27">
        <f t="shared" si="294"/>
        <v>0</v>
      </c>
      <c r="AX243" s="27">
        <f t="shared" si="295"/>
        <v>0</v>
      </c>
      <c r="AY243" s="27">
        <f t="shared" si="296"/>
        <v>0</v>
      </c>
      <c r="BH243" s="2">
        <f t="shared" si="297"/>
        <v>0</v>
      </c>
      <c r="BI243" s="298" t="str">
        <f t="shared" si="298"/>
        <v/>
      </c>
      <c r="BJ243" s="298" t="str">
        <f t="shared" si="267"/>
        <v/>
      </c>
      <c r="BQ243" s="4">
        <f t="shared" si="299"/>
        <v>45347</v>
      </c>
      <c r="BR243" s="112">
        <f t="shared" si="300"/>
        <v>0</v>
      </c>
      <c r="BS243" s="112">
        <f t="shared" si="301"/>
        <v>0</v>
      </c>
      <c r="BT243" s="112">
        <f t="shared" si="302"/>
        <v>0</v>
      </c>
      <c r="BU243" s="112">
        <f t="shared" si="303"/>
        <v>0</v>
      </c>
      <c r="BV243" s="112">
        <f t="shared" si="304"/>
        <v>0</v>
      </c>
      <c r="CI243" s="4">
        <f t="shared" si="305"/>
        <v>45347</v>
      </c>
      <c r="CJ243" s="50">
        <f ca="1">IF($BH243=0,IF($CO243="",CJ242+R243,IF('283'!$K$251=1,VLOOKUP($CO243,PerStBal,2)+R243,IF('283'!$K$253=1,(VLOOKUP($CO243,PerPortion,2)*VLOOKUP($CO243,PerStBal,6))+R243,GL!BS243))),0)</f>
        <v>0</v>
      </c>
      <c r="CK243" s="425">
        <f ca="1">IF($BH243=0,IF($CO243="",CK242+T243,IF('283'!$K$251=1,IF(mname2&lt;&gt;"",VLOOKUP($CO243,PerStBal,3)+T243,0),IF('283'!$K$253=1,(VLOOKUP($CO243,PerPortion,3)*VLOOKUP($CO243,PerStBal,6))+T243,GL!BT243))),0)</f>
        <v>0</v>
      </c>
      <c r="CL243" s="425">
        <f ca="1">IF($BH243=0,IF($CO243="",CL242+V243,IF('283'!$K$251=1,IF(mname3&lt;&gt;"",VLOOKUP($CO243,PerStBal,4)+V243,0),IF('283'!$K$253=1,(VLOOKUP($CO243,PerPortion,4)*VLOOKUP($CO243,PerStBal,6))+V243,GL!BU243))),0)</f>
        <v>0</v>
      </c>
      <c r="CM243" s="425">
        <f ca="1">IF($BH243=0,IF($CO243="",CM242+X243,IF('283'!$K$251=1,IF(mname4&lt;&gt;"",VLOOKUP($CO243,PerStBal,5)+X243,0),IF('283'!$K$253=1,(VLOOKUP($CO243,PerPortion,5)*VLOOKUP($CO243,PerStBal,6))+X243,GL!BV243))),0)</f>
        <v>0</v>
      </c>
      <c r="CN243" s="50">
        <f t="shared" ca="1" si="306"/>
        <v>0</v>
      </c>
      <c r="CO243" s="4" t="str">
        <f t="shared" ca="1" si="307"/>
        <v/>
      </c>
      <c r="CP243" s="377">
        <f t="shared" si="268"/>
        <v>0</v>
      </c>
      <c r="DI243" s="4">
        <f t="shared" si="308"/>
        <v>45347</v>
      </c>
      <c r="DJ243" s="112">
        <f t="shared" ca="1" si="309"/>
        <v>0</v>
      </c>
      <c r="DK243" s="112">
        <f t="shared" si="310"/>
        <v>0</v>
      </c>
      <c r="DL243" s="4">
        <f t="shared" si="311"/>
        <v>45347</v>
      </c>
      <c r="DM243" s="112">
        <f t="shared" ca="1" si="312"/>
        <v>0</v>
      </c>
      <c r="DN243" s="112">
        <f t="shared" si="313"/>
        <v>0</v>
      </c>
      <c r="DO243" s="4">
        <f t="shared" si="314"/>
        <v>45347</v>
      </c>
      <c r="DP243" s="112">
        <f t="shared" ca="1" si="315"/>
        <v>0</v>
      </c>
      <c r="DQ243" s="112">
        <f t="shared" si="316"/>
        <v>0</v>
      </c>
      <c r="DR243" s="4">
        <f t="shared" si="317"/>
        <v>45347</v>
      </c>
      <c r="DS243" s="112">
        <f t="shared" ca="1" si="318"/>
        <v>0</v>
      </c>
      <c r="DT243" s="112">
        <f t="shared" si="319"/>
        <v>0</v>
      </c>
      <c r="DU243" s="4">
        <f t="shared" si="320"/>
        <v>45347</v>
      </c>
      <c r="DV243" s="112">
        <f t="shared" si="321"/>
        <v>0</v>
      </c>
      <c r="DW243" s="112">
        <f t="shared" si="322"/>
        <v>0</v>
      </c>
    </row>
    <row r="244" spans="3:127" x14ac:dyDescent="0.25">
      <c r="C244" s="109" t="str">
        <f>IF(MID('283'!$E64,4,3)="1 P",$C87,"")</f>
        <v/>
      </c>
      <c r="D244" s="110" t="str">
        <f>IF(MID('283'!$E64,4,3)="2 P",$C87,"")</f>
        <v/>
      </c>
      <c r="E244" s="110" t="str">
        <f>IF(MID('283'!$E64,4,3)="3 P",$C87,"")</f>
        <v/>
      </c>
      <c r="F244" s="111" t="str">
        <f>IF(MID('283'!$E64,4,3)="4 P",$C87,"")</f>
        <v/>
      </c>
      <c r="I244" s="143" t="str">
        <f>IF(MID('283'!$E64,4,3)="1 A",$J87,"")</f>
        <v/>
      </c>
      <c r="J244" s="144" t="str">
        <f>IF(MID('283'!$E64,4,3)="2 A",$J87,"")</f>
        <v/>
      </c>
      <c r="K244" s="144" t="str">
        <f>IF(MID('283'!$E64,4,3)="3 A",$J87,"")</f>
        <v/>
      </c>
      <c r="L244" s="145" t="str">
        <f>IF(MID('283'!$E64,4,3)="4 A",$J87,"")</f>
        <v/>
      </c>
      <c r="Q244" s="4">
        <f t="shared" si="269"/>
        <v>45348</v>
      </c>
      <c r="R244" s="24">
        <f t="shared" si="270"/>
        <v>0</v>
      </c>
      <c r="S244" s="25">
        <f t="shared" si="271"/>
        <v>0</v>
      </c>
      <c r="T244" s="24">
        <f t="shared" si="272"/>
        <v>0</v>
      </c>
      <c r="U244" s="25">
        <f t="shared" si="273"/>
        <v>0</v>
      </c>
      <c r="V244" s="24">
        <f t="shared" si="274"/>
        <v>0</v>
      </c>
      <c r="W244" s="25">
        <f t="shared" si="275"/>
        <v>0</v>
      </c>
      <c r="X244" s="24">
        <f t="shared" si="276"/>
        <v>0</v>
      </c>
      <c r="Y244" s="26">
        <f t="shared" si="277"/>
        <v>0</v>
      </c>
      <c r="Z244" s="27">
        <f t="shared" si="278"/>
        <v>0</v>
      </c>
      <c r="AA244" s="28">
        <f t="shared" si="279"/>
        <v>45348</v>
      </c>
      <c r="AB244" s="24">
        <f t="shared" si="280"/>
        <v>0</v>
      </c>
      <c r="AC244" s="25">
        <f t="shared" si="281"/>
        <v>0</v>
      </c>
      <c r="AD244" s="28">
        <f t="shared" si="282"/>
        <v>45348</v>
      </c>
      <c r="AE244" s="24">
        <f t="shared" si="283"/>
        <v>0</v>
      </c>
      <c r="AF244" s="25">
        <f t="shared" si="284"/>
        <v>0</v>
      </c>
      <c r="AG244" s="28">
        <f t="shared" si="285"/>
        <v>45348</v>
      </c>
      <c r="AH244" s="24">
        <f t="shared" si="286"/>
        <v>0</v>
      </c>
      <c r="AI244" s="25">
        <f t="shared" si="287"/>
        <v>0</v>
      </c>
      <c r="AJ244" s="28">
        <f t="shared" si="288"/>
        <v>45348</v>
      </c>
      <c r="AK244" s="24">
        <f t="shared" si="289"/>
        <v>0</v>
      </c>
      <c r="AL244" s="25">
        <f t="shared" si="290"/>
        <v>0</v>
      </c>
      <c r="AM244" s="29">
        <f t="shared" si="291"/>
        <v>0</v>
      </c>
      <c r="AN244" s="28">
        <f t="shared" si="292"/>
        <v>45348</v>
      </c>
      <c r="AO244" s="373">
        <f t="shared" si="261"/>
        <v>0</v>
      </c>
      <c r="AP244" s="374">
        <f t="shared" si="262"/>
        <v>0</v>
      </c>
      <c r="AQ244" s="27">
        <f t="shared" si="263"/>
        <v>0</v>
      </c>
      <c r="AR244" s="25">
        <f t="shared" si="264"/>
        <v>0</v>
      </c>
      <c r="AS244" s="25">
        <f t="shared" si="265"/>
        <v>0</v>
      </c>
      <c r="AT244" s="25">
        <f t="shared" si="266"/>
        <v>0</v>
      </c>
      <c r="AU244" s="29">
        <f t="shared" si="323"/>
        <v>0</v>
      </c>
      <c r="AV244" s="27">
        <f t="shared" si="293"/>
        <v>0</v>
      </c>
      <c r="AW244" s="27">
        <f t="shared" si="294"/>
        <v>0</v>
      </c>
      <c r="AX244" s="27">
        <f t="shared" si="295"/>
        <v>0</v>
      </c>
      <c r="AY244" s="27">
        <f t="shared" si="296"/>
        <v>0</v>
      </c>
      <c r="BH244" s="2">
        <f t="shared" si="297"/>
        <v>0</v>
      </c>
      <c r="BI244" s="298" t="str">
        <f t="shared" si="298"/>
        <v/>
      </c>
      <c r="BJ244" s="298" t="str">
        <f t="shared" si="267"/>
        <v/>
      </c>
      <c r="BQ244" s="4">
        <f t="shared" si="299"/>
        <v>45348</v>
      </c>
      <c r="BR244" s="112">
        <f t="shared" si="300"/>
        <v>0</v>
      </c>
      <c r="BS244" s="112">
        <f t="shared" si="301"/>
        <v>0</v>
      </c>
      <c r="BT244" s="112">
        <f t="shared" si="302"/>
        <v>0</v>
      </c>
      <c r="BU244" s="112">
        <f t="shared" si="303"/>
        <v>0</v>
      </c>
      <c r="BV244" s="112">
        <f t="shared" si="304"/>
        <v>0</v>
      </c>
      <c r="CI244" s="4">
        <f t="shared" si="305"/>
        <v>45348</v>
      </c>
      <c r="CJ244" s="50">
        <f ca="1">IF($BH244=0,IF($CO244="",CJ243+R244,IF('283'!$K$251=1,VLOOKUP($CO244,PerStBal,2)+R244,IF('283'!$K$253=1,(VLOOKUP($CO244,PerPortion,2)*VLOOKUP($CO244,PerStBal,6))+R244,GL!BS244))),0)</f>
        <v>0</v>
      </c>
      <c r="CK244" s="425">
        <f ca="1">IF($BH244=0,IF($CO244="",CK243+T244,IF('283'!$K$251=1,IF(mname2&lt;&gt;"",VLOOKUP($CO244,PerStBal,3)+T244,0),IF('283'!$K$253=1,(VLOOKUP($CO244,PerPortion,3)*VLOOKUP($CO244,PerStBal,6))+T244,GL!BT244))),0)</f>
        <v>0</v>
      </c>
      <c r="CL244" s="425">
        <f ca="1">IF($BH244=0,IF($CO244="",CL243+V244,IF('283'!$K$251=1,IF(mname3&lt;&gt;"",VLOOKUP($CO244,PerStBal,4)+V244,0),IF('283'!$K$253=1,(VLOOKUP($CO244,PerPortion,4)*VLOOKUP($CO244,PerStBal,6))+V244,GL!BU244))),0)</f>
        <v>0</v>
      </c>
      <c r="CM244" s="425">
        <f ca="1">IF($BH244=0,IF($CO244="",CM243+X244,IF('283'!$K$251=1,IF(mname4&lt;&gt;"",VLOOKUP($CO244,PerStBal,5)+X244,0),IF('283'!$K$253=1,(VLOOKUP($CO244,PerPortion,5)*VLOOKUP($CO244,PerStBal,6))+X244,GL!BV244))),0)</f>
        <v>0</v>
      </c>
      <c r="CN244" s="50">
        <f t="shared" ca="1" si="306"/>
        <v>0</v>
      </c>
      <c r="CO244" s="4" t="str">
        <f t="shared" ca="1" si="307"/>
        <v/>
      </c>
      <c r="CP244" s="377">
        <f t="shared" si="268"/>
        <v>0</v>
      </c>
      <c r="DI244" s="4">
        <f t="shared" si="308"/>
        <v>45348</v>
      </c>
      <c r="DJ244" s="112">
        <f t="shared" ca="1" si="309"/>
        <v>0</v>
      </c>
      <c r="DK244" s="112">
        <f t="shared" si="310"/>
        <v>0</v>
      </c>
      <c r="DL244" s="4">
        <f t="shared" si="311"/>
        <v>45348</v>
      </c>
      <c r="DM244" s="112">
        <f t="shared" ca="1" si="312"/>
        <v>0</v>
      </c>
      <c r="DN244" s="112">
        <f t="shared" si="313"/>
        <v>0</v>
      </c>
      <c r="DO244" s="4">
        <f t="shared" si="314"/>
        <v>45348</v>
      </c>
      <c r="DP244" s="112">
        <f t="shared" ca="1" si="315"/>
        <v>0</v>
      </c>
      <c r="DQ244" s="112">
        <f t="shared" si="316"/>
        <v>0</v>
      </c>
      <c r="DR244" s="4">
        <f t="shared" si="317"/>
        <v>45348</v>
      </c>
      <c r="DS244" s="112">
        <f t="shared" ca="1" si="318"/>
        <v>0</v>
      </c>
      <c r="DT244" s="112">
        <f t="shared" si="319"/>
        <v>0</v>
      </c>
      <c r="DU244" s="4">
        <f t="shared" si="320"/>
        <v>45348</v>
      </c>
      <c r="DV244" s="112">
        <f t="shared" si="321"/>
        <v>0</v>
      </c>
      <c r="DW244" s="112">
        <f t="shared" si="322"/>
        <v>0</v>
      </c>
    </row>
    <row r="245" spans="3:127" x14ac:dyDescent="0.25">
      <c r="C245" s="109" t="str">
        <f>IF(MID('283'!$E65,4,3)="1 P",$C88,"")</f>
        <v/>
      </c>
      <c r="D245" s="110" t="str">
        <f>IF(MID('283'!$E65,4,3)="2 P",$C88,"")</f>
        <v/>
      </c>
      <c r="E245" s="110" t="str">
        <f>IF(MID('283'!$E65,4,3)="3 P",$C88,"")</f>
        <v/>
      </c>
      <c r="F245" s="111" t="str">
        <f>IF(MID('283'!$E65,4,3)="4 P",$C88,"")</f>
        <v/>
      </c>
      <c r="I245" s="143" t="str">
        <f>IF(MID('283'!$E65,4,3)="1 A",$J88,"")</f>
        <v/>
      </c>
      <c r="J245" s="144" t="str">
        <f>IF(MID('283'!$E65,4,3)="2 A",$J88,"")</f>
        <v/>
      </c>
      <c r="K245" s="144" t="str">
        <f>IF(MID('283'!$E65,4,3)="3 A",$J88,"")</f>
        <v/>
      </c>
      <c r="L245" s="145" t="str">
        <f>IF(MID('283'!$E65,4,3)="4 A",$J88,"")</f>
        <v/>
      </c>
      <c r="Q245" s="4">
        <f t="shared" si="269"/>
        <v>45349</v>
      </c>
      <c r="R245" s="24">
        <f t="shared" si="270"/>
        <v>0</v>
      </c>
      <c r="S245" s="25">
        <f t="shared" si="271"/>
        <v>0</v>
      </c>
      <c r="T245" s="24">
        <f t="shared" si="272"/>
        <v>0</v>
      </c>
      <c r="U245" s="25">
        <f t="shared" si="273"/>
        <v>0</v>
      </c>
      <c r="V245" s="24">
        <f t="shared" si="274"/>
        <v>0</v>
      </c>
      <c r="W245" s="25">
        <f t="shared" si="275"/>
        <v>0</v>
      </c>
      <c r="X245" s="24">
        <f t="shared" si="276"/>
        <v>0</v>
      </c>
      <c r="Y245" s="26">
        <f t="shared" si="277"/>
        <v>0</v>
      </c>
      <c r="Z245" s="27">
        <f t="shared" si="278"/>
        <v>0</v>
      </c>
      <c r="AA245" s="28">
        <f t="shared" si="279"/>
        <v>45349</v>
      </c>
      <c r="AB245" s="24">
        <f t="shared" si="280"/>
        <v>0</v>
      </c>
      <c r="AC245" s="25">
        <f t="shared" si="281"/>
        <v>0</v>
      </c>
      <c r="AD245" s="28">
        <f t="shared" si="282"/>
        <v>45349</v>
      </c>
      <c r="AE245" s="24">
        <f t="shared" si="283"/>
        <v>0</v>
      </c>
      <c r="AF245" s="25">
        <f t="shared" si="284"/>
        <v>0</v>
      </c>
      <c r="AG245" s="28">
        <f t="shared" si="285"/>
        <v>45349</v>
      </c>
      <c r="AH245" s="24">
        <f t="shared" si="286"/>
        <v>0</v>
      </c>
      <c r="AI245" s="25">
        <f t="shared" si="287"/>
        <v>0</v>
      </c>
      <c r="AJ245" s="28">
        <f t="shared" si="288"/>
        <v>45349</v>
      </c>
      <c r="AK245" s="24">
        <f t="shared" si="289"/>
        <v>0</v>
      </c>
      <c r="AL245" s="25">
        <f t="shared" si="290"/>
        <v>0</v>
      </c>
      <c r="AM245" s="29">
        <f t="shared" si="291"/>
        <v>0</v>
      </c>
      <c r="AN245" s="28">
        <f t="shared" si="292"/>
        <v>45349</v>
      </c>
      <c r="AO245" s="373">
        <f t="shared" si="261"/>
        <v>0</v>
      </c>
      <c r="AP245" s="374">
        <f t="shared" si="262"/>
        <v>0</v>
      </c>
      <c r="AQ245" s="27">
        <f t="shared" si="263"/>
        <v>0</v>
      </c>
      <c r="AR245" s="25">
        <f t="shared" si="264"/>
        <v>0</v>
      </c>
      <c r="AS245" s="25">
        <f t="shared" si="265"/>
        <v>0</v>
      </c>
      <c r="AT245" s="25">
        <f t="shared" si="266"/>
        <v>0</v>
      </c>
      <c r="AU245" s="29">
        <f t="shared" si="323"/>
        <v>0</v>
      </c>
      <c r="AV245" s="27">
        <f t="shared" si="293"/>
        <v>0</v>
      </c>
      <c r="AW245" s="27">
        <f t="shared" si="294"/>
        <v>0</v>
      </c>
      <c r="AX245" s="27">
        <f t="shared" si="295"/>
        <v>0</v>
      </c>
      <c r="AY245" s="27">
        <f t="shared" si="296"/>
        <v>0</v>
      </c>
      <c r="BH245" s="2">
        <f t="shared" si="297"/>
        <v>0</v>
      </c>
      <c r="BI245" s="298" t="str">
        <f t="shared" si="298"/>
        <v/>
      </c>
      <c r="BJ245" s="298" t="str">
        <f t="shared" si="267"/>
        <v/>
      </c>
      <c r="BQ245" s="4">
        <f t="shared" si="299"/>
        <v>45349</v>
      </c>
      <c r="BR245" s="112">
        <f t="shared" si="300"/>
        <v>0</v>
      </c>
      <c r="BS245" s="112">
        <f t="shared" si="301"/>
        <v>0</v>
      </c>
      <c r="BT245" s="112">
        <f t="shared" si="302"/>
        <v>0</v>
      </c>
      <c r="BU245" s="112">
        <f t="shared" si="303"/>
        <v>0</v>
      </c>
      <c r="BV245" s="112">
        <f t="shared" si="304"/>
        <v>0</v>
      </c>
      <c r="CI245" s="4">
        <f t="shared" si="305"/>
        <v>45349</v>
      </c>
      <c r="CJ245" s="50">
        <f ca="1">IF($BH245=0,IF($CO245="",CJ244+R245,IF('283'!$K$251=1,VLOOKUP($CO245,PerStBal,2)+R245,IF('283'!$K$253=1,(VLOOKUP($CO245,PerPortion,2)*VLOOKUP($CO245,PerStBal,6))+R245,GL!BS245))),0)</f>
        <v>0</v>
      </c>
      <c r="CK245" s="425">
        <f ca="1">IF($BH245=0,IF($CO245="",CK244+T245,IF('283'!$K$251=1,IF(mname2&lt;&gt;"",VLOOKUP($CO245,PerStBal,3)+T245,0),IF('283'!$K$253=1,(VLOOKUP($CO245,PerPortion,3)*VLOOKUP($CO245,PerStBal,6))+T245,GL!BT245))),0)</f>
        <v>0</v>
      </c>
      <c r="CL245" s="425">
        <f ca="1">IF($BH245=0,IF($CO245="",CL244+V245,IF('283'!$K$251=1,IF(mname3&lt;&gt;"",VLOOKUP($CO245,PerStBal,4)+V245,0),IF('283'!$K$253=1,(VLOOKUP($CO245,PerPortion,4)*VLOOKUP($CO245,PerStBal,6))+V245,GL!BU245))),0)</f>
        <v>0</v>
      </c>
      <c r="CM245" s="425">
        <f ca="1">IF($BH245=0,IF($CO245="",CM244+X245,IF('283'!$K$251=1,IF(mname4&lt;&gt;"",VLOOKUP($CO245,PerStBal,5)+X245,0),IF('283'!$K$253=1,(VLOOKUP($CO245,PerPortion,5)*VLOOKUP($CO245,PerStBal,6))+X245,GL!BV245))),0)</f>
        <v>0</v>
      </c>
      <c r="CN245" s="50">
        <f t="shared" ca="1" si="306"/>
        <v>0</v>
      </c>
      <c r="CO245" s="4" t="str">
        <f t="shared" ca="1" si="307"/>
        <v/>
      </c>
      <c r="CP245" s="377">
        <f t="shared" si="268"/>
        <v>0</v>
      </c>
      <c r="DI245" s="4">
        <f t="shared" si="308"/>
        <v>45349</v>
      </c>
      <c r="DJ245" s="112">
        <f t="shared" ca="1" si="309"/>
        <v>0</v>
      </c>
      <c r="DK245" s="112">
        <f t="shared" si="310"/>
        <v>0</v>
      </c>
      <c r="DL245" s="4">
        <f t="shared" si="311"/>
        <v>45349</v>
      </c>
      <c r="DM245" s="112">
        <f t="shared" ca="1" si="312"/>
        <v>0</v>
      </c>
      <c r="DN245" s="112">
        <f t="shared" si="313"/>
        <v>0</v>
      </c>
      <c r="DO245" s="4">
        <f t="shared" si="314"/>
        <v>45349</v>
      </c>
      <c r="DP245" s="112">
        <f t="shared" ca="1" si="315"/>
        <v>0</v>
      </c>
      <c r="DQ245" s="112">
        <f t="shared" si="316"/>
        <v>0</v>
      </c>
      <c r="DR245" s="4">
        <f t="shared" si="317"/>
        <v>45349</v>
      </c>
      <c r="DS245" s="112">
        <f t="shared" ca="1" si="318"/>
        <v>0</v>
      </c>
      <c r="DT245" s="112">
        <f t="shared" si="319"/>
        <v>0</v>
      </c>
      <c r="DU245" s="4">
        <f t="shared" si="320"/>
        <v>45349</v>
      </c>
      <c r="DV245" s="112">
        <f t="shared" si="321"/>
        <v>0</v>
      </c>
      <c r="DW245" s="112">
        <f t="shared" si="322"/>
        <v>0</v>
      </c>
    </row>
    <row r="246" spans="3:127" x14ac:dyDescent="0.25">
      <c r="C246" s="109" t="str">
        <f>IF(MID('283'!$E66,4,3)="1 P",$C89,"")</f>
        <v/>
      </c>
      <c r="D246" s="110" t="str">
        <f>IF(MID('283'!$E66,4,3)="2 P",$C89,"")</f>
        <v/>
      </c>
      <c r="E246" s="110" t="str">
        <f>IF(MID('283'!$E66,4,3)="3 P",$C89,"")</f>
        <v/>
      </c>
      <c r="F246" s="111" t="str">
        <f>IF(MID('283'!$E66,4,3)="4 P",$C89,"")</f>
        <v/>
      </c>
      <c r="I246" s="143" t="str">
        <f>IF(MID('283'!$E66,4,3)="1 A",$J89,"")</f>
        <v/>
      </c>
      <c r="J246" s="144" t="str">
        <f>IF(MID('283'!$E66,4,3)="2 A",$J89,"")</f>
        <v/>
      </c>
      <c r="K246" s="144" t="str">
        <f>IF(MID('283'!$E66,4,3)="3 A",$J89,"")</f>
        <v/>
      </c>
      <c r="L246" s="145" t="str">
        <f>IF(MID('283'!$E66,4,3)="4 A",$J89,"")</f>
        <v/>
      </c>
      <c r="Q246" s="4">
        <f t="shared" si="269"/>
        <v>45350</v>
      </c>
      <c r="R246" s="24">
        <f t="shared" si="270"/>
        <v>0</v>
      </c>
      <c r="S246" s="25">
        <f t="shared" si="271"/>
        <v>0</v>
      </c>
      <c r="T246" s="24">
        <f t="shared" si="272"/>
        <v>0</v>
      </c>
      <c r="U246" s="25">
        <f t="shared" si="273"/>
        <v>0</v>
      </c>
      <c r="V246" s="24">
        <f t="shared" si="274"/>
        <v>0</v>
      </c>
      <c r="W246" s="25">
        <f t="shared" si="275"/>
        <v>0</v>
      </c>
      <c r="X246" s="24">
        <f t="shared" si="276"/>
        <v>0</v>
      </c>
      <c r="Y246" s="26">
        <f t="shared" si="277"/>
        <v>0</v>
      </c>
      <c r="Z246" s="27">
        <f t="shared" si="278"/>
        <v>0</v>
      </c>
      <c r="AA246" s="28">
        <f t="shared" si="279"/>
        <v>45350</v>
      </c>
      <c r="AB246" s="24">
        <f t="shared" si="280"/>
        <v>0</v>
      </c>
      <c r="AC246" s="25">
        <f t="shared" si="281"/>
        <v>0</v>
      </c>
      <c r="AD246" s="28">
        <f t="shared" si="282"/>
        <v>45350</v>
      </c>
      <c r="AE246" s="24">
        <f t="shared" si="283"/>
        <v>0</v>
      </c>
      <c r="AF246" s="25">
        <f t="shared" si="284"/>
        <v>0</v>
      </c>
      <c r="AG246" s="28">
        <f t="shared" si="285"/>
        <v>45350</v>
      </c>
      <c r="AH246" s="24">
        <f t="shared" si="286"/>
        <v>0</v>
      </c>
      <c r="AI246" s="25">
        <f t="shared" si="287"/>
        <v>0</v>
      </c>
      <c r="AJ246" s="28">
        <f t="shared" si="288"/>
        <v>45350</v>
      </c>
      <c r="AK246" s="24">
        <f t="shared" si="289"/>
        <v>0</v>
      </c>
      <c r="AL246" s="25">
        <f t="shared" si="290"/>
        <v>0</v>
      </c>
      <c r="AM246" s="29">
        <f t="shared" si="291"/>
        <v>0</v>
      </c>
      <c r="AN246" s="28">
        <f t="shared" si="292"/>
        <v>45350</v>
      </c>
      <c r="AO246" s="373">
        <f t="shared" si="261"/>
        <v>0</v>
      </c>
      <c r="AP246" s="374">
        <f t="shared" si="262"/>
        <v>0</v>
      </c>
      <c r="AQ246" s="27">
        <f t="shared" si="263"/>
        <v>0</v>
      </c>
      <c r="AR246" s="25">
        <f t="shared" si="264"/>
        <v>0</v>
      </c>
      <c r="AS246" s="25">
        <f t="shared" si="265"/>
        <v>0</v>
      </c>
      <c r="AT246" s="25">
        <f t="shared" si="266"/>
        <v>0</v>
      </c>
      <c r="AU246" s="29">
        <f t="shared" si="323"/>
        <v>0</v>
      </c>
      <c r="AV246" s="27">
        <f t="shared" si="293"/>
        <v>0</v>
      </c>
      <c r="AW246" s="27">
        <f t="shared" si="294"/>
        <v>0</v>
      </c>
      <c r="AX246" s="27">
        <f t="shared" si="295"/>
        <v>0</v>
      </c>
      <c r="AY246" s="27">
        <f t="shared" si="296"/>
        <v>0</v>
      </c>
      <c r="BH246" s="2">
        <f t="shared" si="297"/>
        <v>0</v>
      </c>
      <c r="BI246" s="298" t="str">
        <f t="shared" si="298"/>
        <v/>
      </c>
      <c r="BJ246" s="298" t="str">
        <f t="shared" si="267"/>
        <v/>
      </c>
      <c r="BQ246" s="4">
        <f t="shared" si="299"/>
        <v>45350</v>
      </c>
      <c r="BR246" s="112">
        <f t="shared" si="300"/>
        <v>0</v>
      </c>
      <c r="BS246" s="112">
        <f t="shared" si="301"/>
        <v>0</v>
      </c>
      <c r="BT246" s="112">
        <f t="shared" si="302"/>
        <v>0</v>
      </c>
      <c r="BU246" s="112">
        <f t="shared" si="303"/>
        <v>0</v>
      </c>
      <c r="BV246" s="112">
        <f t="shared" si="304"/>
        <v>0</v>
      </c>
      <c r="CI246" s="4">
        <f t="shared" si="305"/>
        <v>45350</v>
      </c>
      <c r="CJ246" s="50">
        <f ca="1">IF($BH246=0,IF($CO246="",CJ245+R246,IF('283'!$K$251=1,VLOOKUP($CO246,PerStBal,2)+R246,IF('283'!$K$253=1,(VLOOKUP($CO246,PerPortion,2)*VLOOKUP($CO246,PerStBal,6))+R246,GL!BS246))),0)</f>
        <v>0</v>
      </c>
      <c r="CK246" s="425">
        <f ca="1">IF($BH246=0,IF($CO246="",CK245+T246,IF('283'!$K$251=1,IF(mname2&lt;&gt;"",VLOOKUP($CO246,PerStBal,3)+T246,0),IF('283'!$K$253=1,(VLOOKUP($CO246,PerPortion,3)*VLOOKUP($CO246,PerStBal,6))+T246,GL!BT246))),0)</f>
        <v>0</v>
      </c>
      <c r="CL246" s="425">
        <f ca="1">IF($BH246=0,IF($CO246="",CL245+V246,IF('283'!$K$251=1,IF(mname3&lt;&gt;"",VLOOKUP($CO246,PerStBal,4)+V246,0),IF('283'!$K$253=1,(VLOOKUP($CO246,PerPortion,4)*VLOOKUP($CO246,PerStBal,6))+V246,GL!BU246))),0)</f>
        <v>0</v>
      </c>
      <c r="CM246" s="425">
        <f ca="1">IF($BH246=0,IF($CO246="",CM245+X246,IF('283'!$K$251=1,IF(mname4&lt;&gt;"",VLOOKUP($CO246,PerStBal,5)+X246,0),IF('283'!$K$253=1,(VLOOKUP($CO246,PerPortion,5)*VLOOKUP($CO246,PerStBal,6))+X246,GL!BV246))),0)</f>
        <v>0</v>
      </c>
      <c r="CN246" s="50">
        <f t="shared" ca="1" si="306"/>
        <v>0</v>
      </c>
      <c r="CO246" s="4" t="str">
        <f t="shared" ca="1" si="307"/>
        <v/>
      </c>
      <c r="CP246" s="377">
        <f t="shared" si="268"/>
        <v>0</v>
      </c>
      <c r="DI246" s="4">
        <f t="shared" si="308"/>
        <v>45350</v>
      </c>
      <c r="DJ246" s="112">
        <f t="shared" ca="1" si="309"/>
        <v>0</v>
      </c>
      <c r="DK246" s="112">
        <f t="shared" si="310"/>
        <v>0</v>
      </c>
      <c r="DL246" s="4">
        <f t="shared" si="311"/>
        <v>45350</v>
      </c>
      <c r="DM246" s="112">
        <f t="shared" ca="1" si="312"/>
        <v>0</v>
      </c>
      <c r="DN246" s="112">
        <f t="shared" si="313"/>
        <v>0</v>
      </c>
      <c r="DO246" s="4">
        <f t="shared" si="314"/>
        <v>45350</v>
      </c>
      <c r="DP246" s="112">
        <f t="shared" ca="1" si="315"/>
        <v>0</v>
      </c>
      <c r="DQ246" s="112">
        <f t="shared" si="316"/>
        <v>0</v>
      </c>
      <c r="DR246" s="4">
        <f t="shared" si="317"/>
        <v>45350</v>
      </c>
      <c r="DS246" s="112">
        <f t="shared" ca="1" si="318"/>
        <v>0</v>
      </c>
      <c r="DT246" s="112">
        <f t="shared" si="319"/>
        <v>0</v>
      </c>
      <c r="DU246" s="4">
        <f t="shared" si="320"/>
        <v>45350</v>
      </c>
      <c r="DV246" s="112">
        <f t="shared" si="321"/>
        <v>0</v>
      </c>
      <c r="DW246" s="112">
        <f t="shared" si="322"/>
        <v>0</v>
      </c>
    </row>
    <row r="247" spans="3:127" x14ac:dyDescent="0.25">
      <c r="C247" s="109" t="str">
        <f>IF(MID('283'!$E67,4,3)="1 P",$C90,"")</f>
        <v/>
      </c>
      <c r="D247" s="110" t="str">
        <f>IF(MID('283'!$E67,4,3)="2 P",$C90,"")</f>
        <v/>
      </c>
      <c r="E247" s="110" t="str">
        <f>IF(MID('283'!$E67,4,3)="3 P",$C90,"")</f>
        <v/>
      </c>
      <c r="F247" s="111" t="str">
        <f>IF(MID('283'!$E67,4,3)="4 P",$C90,"")</f>
        <v/>
      </c>
      <c r="I247" s="143" t="str">
        <f>IF(MID('283'!$E67,4,3)="1 A",$J90,"")</f>
        <v/>
      </c>
      <c r="J247" s="144" t="str">
        <f>IF(MID('283'!$E67,4,3)="2 A",$J90,"")</f>
        <v/>
      </c>
      <c r="K247" s="144" t="str">
        <f>IF(MID('283'!$E67,4,3)="3 A",$J90,"")</f>
        <v/>
      </c>
      <c r="L247" s="145" t="str">
        <f>IF(MID('283'!$E67,4,3)="4 A",$J90,"")</f>
        <v/>
      </c>
      <c r="Q247" s="4">
        <f t="shared" si="269"/>
        <v>45351</v>
      </c>
      <c r="R247" s="24">
        <f t="shared" si="270"/>
        <v>0</v>
      </c>
      <c r="S247" s="25">
        <f t="shared" si="271"/>
        <v>0</v>
      </c>
      <c r="T247" s="24">
        <f t="shared" si="272"/>
        <v>0</v>
      </c>
      <c r="U247" s="25">
        <f t="shared" si="273"/>
        <v>0</v>
      </c>
      <c r="V247" s="24">
        <f t="shared" si="274"/>
        <v>0</v>
      </c>
      <c r="W247" s="25">
        <f t="shared" si="275"/>
        <v>0</v>
      </c>
      <c r="X247" s="24">
        <f t="shared" si="276"/>
        <v>0</v>
      </c>
      <c r="Y247" s="26">
        <f t="shared" si="277"/>
        <v>0</v>
      </c>
      <c r="Z247" s="27">
        <f t="shared" si="278"/>
        <v>0</v>
      </c>
      <c r="AA247" s="28">
        <f t="shared" si="279"/>
        <v>45351</v>
      </c>
      <c r="AB247" s="24">
        <f t="shared" si="280"/>
        <v>0</v>
      </c>
      <c r="AC247" s="25">
        <f t="shared" si="281"/>
        <v>0</v>
      </c>
      <c r="AD247" s="28">
        <f t="shared" si="282"/>
        <v>45351</v>
      </c>
      <c r="AE247" s="24">
        <f t="shared" si="283"/>
        <v>0</v>
      </c>
      <c r="AF247" s="25">
        <f t="shared" si="284"/>
        <v>0</v>
      </c>
      <c r="AG247" s="28">
        <f t="shared" si="285"/>
        <v>45351</v>
      </c>
      <c r="AH247" s="24">
        <f t="shared" si="286"/>
        <v>0</v>
      </c>
      <c r="AI247" s="25">
        <f t="shared" si="287"/>
        <v>0</v>
      </c>
      <c r="AJ247" s="28">
        <f t="shared" si="288"/>
        <v>45351</v>
      </c>
      <c r="AK247" s="24">
        <f t="shared" si="289"/>
        <v>0</v>
      </c>
      <c r="AL247" s="25">
        <f t="shared" si="290"/>
        <v>0</v>
      </c>
      <c r="AM247" s="29">
        <f t="shared" si="291"/>
        <v>0</v>
      </c>
      <c r="AN247" s="28">
        <f t="shared" si="292"/>
        <v>45351</v>
      </c>
      <c r="AO247" s="373">
        <f t="shared" si="261"/>
        <v>0</v>
      </c>
      <c r="AP247" s="374">
        <f t="shared" si="262"/>
        <v>0</v>
      </c>
      <c r="AQ247" s="27">
        <f t="shared" si="263"/>
        <v>0</v>
      </c>
      <c r="AR247" s="25">
        <f t="shared" si="264"/>
        <v>0</v>
      </c>
      <c r="AS247" s="25">
        <f t="shared" si="265"/>
        <v>0</v>
      </c>
      <c r="AT247" s="25">
        <f t="shared" si="266"/>
        <v>0</v>
      </c>
      <c r="AU247" s="29">
        <f t="shared" si="323"/>
        <v>0</v>
      </c>
      <c r="AV247" s="27">
        <f t="shared" si="293"/>
        <v>0</v>
      </c>
      <c r="AW247" s="27">
        <f t="shared" si="294"/>
        <v>0</v>
      </c>
      <c r="AX247" s="27">
        <f t="shared" si="295"/>
        <v>0</v>
      </c>
      <c r="AY247" s="27">
        <f t="shared" si="296"/>
        <v>0</v>
      </c>
      <c r="BH247" s="2">
        <f t="shared" si="297"/>
        <v>0</v>
      </c>
      <c r="BI247" s="298" t="str">
        <f t="shared" si="298"/>
        <v/>
      </c>
      <c r="BJ247" s="298" t="str">
        <f t="shared" si="267"/>
        <v/>
      </c>
      <c r="BQ247" s="4">
        <f t="shared" si="299"/>
        <v>45351</v>
      </c>
      <c r="BR247" s="112">
        <f t="shared" si="300"/>
        <v>0</v>
      </c>
      <c r="BS247" s="112">
        <f t="shared" si="301"/>
        <v>0</v>
      </c>
      <c r="BT247" s="112">
        <f t="shared" si="302"/>
        <v>0</v>
      </c>
      <c r="BU247" s="112">
        <f t="shared" si="303"/>
        <v>0</v>
      </c>
      <c r="BV247" s="112">
        <f t="shared" si="304"/>
        <v>0</v>
      </c>
      <c r="CI247" s="4">
        <f t="shared" si="305"/>
        <v>45351</v>
      </c>
      <c r="CJ247" s="50">
        <f ca="1">IF($BH247=0,IF($CO247="",CJ246+R247,IF('283'!$K$251=1,VLOOKUP($CO247,PerStBal,2)+R247,IF('283'!$K$253=1,(VLOOKUP($CO247,PerPortion,2)*VLOOKUP($CO247,PerStBal,6))+R247,GL!BS247))),0)</f>
        <v>0</v>
      </c>
      <c r="CK247" s="425">
        <f ca="1">IF($BH247=0,IF($CO247="",CK246+T247,IF('283'!$K$251=1,IF(mname2&lt;&gt;"",VLOOKUP($CO247,PerStBal,3)+T247,0),IF('283'!$K$253=1,(VLOOKUP($CO247,PerPortion,3)*VLOOKUP($CO247,PerStBal,6))+T247,GL!BT247))),0)</f>
        <v>0</v>
      </c>
      <c r="CL247" s="425">
        <f ca="1">IF($BH247=0,IF($CO247="",CL246+V247,IF('283'!$K$251=1,IF(mname3&lt;&gt;"",VLOOKUP($CO247,PerStBal,4)+V247,0),IF('283'!$K$253=1,(VLOOKUP($CO247,PerPortion,4)*VLOOKUP($CO247,PerStBal,6))+V247,GL!BU247))),0)</f>
        <v>0</v>
      </c>
      <c r="CM247" s="425">
        <f ca="1">IF($BH247=0,IF($CO247="",CM246+X247,IF('283'!$K$251=1,IF(mname4&lt;&gt;"",VLOOKUP($CO247,PerStBal,5)+X247,0),IF('283'!$K$253=1,(VLOOKUP($CO247,PerPortion,5)*VLOOKUP($CO247,PerStBal,6))+X247,GL!BV247))),0)</f>
        <v>0</v>
      </c>
      <c r="CN247" s="50">
        <f t="shared" ca="1" si="306"/>
        <v>0</v>
      </c>
      <c r="CO247" s="4" t="str">
        <f t="shared" ca="1" si="307"/>
        <v/>
      </c>
      <c r="CP247" s="377">
        <f t="shared" si="268"/>
        <v>0</v>
      </c>
      <c r="DI247" s="4">
        <f t="shared" si="308"/>
        <v>45351</v>
      </c>
      <c r="DJ247" s="112">
        <f t="shared" ca="1" si="309"/>
        <v>0</v>
      </c>
      <c r="DK247" s="112">
        <f t="shared" si="310"/>
        <v>0</v>
      </c>
      <c r="DL247" s="4">
        <f t="shared" si="311"/>
        <v>45351</v>
      </c>
      <c r="DM247" s="112">
        <f t="shared" ca="1" si="312"/>
        <v>0</v>
      </c>
      <c r="DN247" s="112">
        <f t="shared" si="313"/>
        <v>0</v>
      </c>
      <c r="DO247" s="4">
        <f t="shared" si="314"/>
        <v>45351</v>
      </c>
      <c r="DP247" s="112">
        <f t="shared" ca="1" si="315"/>
        <v>0</v>
      </c>
      <c r="DQ247" s="112">
        <f t="shared" si="316"/>
        <v>0</v>
      </c>
      <c r="DR247" s="4">
        <f t="shared" si="317"/>
        <v>45351</v>
      </c>
      <c r="DS247" s="112">
        <f t="shared" ca="1" si="318"/>
        <v>0</v>
      </c>
      <c r="DT247" s="112">
        <f t="shared" si="319"/>
        <v>0</v>
      </c>
      <c r="DU247" s="4">
        <f t="shared" si="320"/>
        <v>45351</v>
      </c>
      <c r="DV247" s="112">
        <f t="shared" si="321"/>
        <v>0</v>
      </c>
      <c r="DW247" s="112">
        <f t="shared" si="322"/>
        <v>0</v>
      </c>
    </row>
    <row r="248" spans="3:127" x14ac:dyDescent="0.25">
      <c r="C248" s="109" t="str">
        <f>IF(MID('283'!$E68,4,3)="1 P",$C91,"")</f>
        <v/>
      </c>
      <c r="D248" s="110" t="str">
        <f>IF(MID('283'!$E68,4,3)="2 P",$C91,"")</f>
        <v/>
      </c>
      <c r="E248" s="110" t="str">
        <f>IF(MID('283'!$E68,4,3)="3 P",$C91,"")</f>
        <v/>
      </c>
      <c r="F248" s="111" t="str">
        <f>IF(MID('283'!$E68,4,3)="4 P",$C91,"")</f>
        <v/>
      </c>
      <c r="I248" s="143" t="str">
        <f>IF(MID('283'!$E68,4,3)="1 A",$J91,"")</f>
        <v/>
      </c>
      <c r="J248" s="144" t="str">
        <f>IF(MID('283'!$E68,4,3)="2 A",$J91,"")</f>
        <v/>
      </c>
      <c r="K248" s="144" t="str">
        <f>IF(MID('283'!$E68,4,3)="3 A",$J91,"")</f>
        <v/>
      </c>
      <c r="L248" s="145" t="str">
        <f>IF(MID('283'!$E68,4,3)="4 A",$J91,"")</f>
        <v/>
      </c>
      <c r="Q248" s="4">
        <f t="shared" si="269"/>
        <v>45352</v>
      </c>
      <c r="R248" s="24">
        <f t="shared" si="270"/>
        <v>0</v>
      </c>
      <c r="S248" s="25">
        <f t="shared" si="271"/>
        <v>0</v>
      </c>
      <c r="T248" s="24">
        <f t="shared" si="272"/>
        <v>0</v>
      </c>
      <c r="U248" s="25">
        <f t="shared" si="273"/>
        <v>0</v>
      </c>
      <c r="V248" s="24">
        <f t="shared" si="274"/>
        <v>0</v>
      </c>
      <c r="W248" s="25">
        <f t="shared" si="275"/>
        <v>0</v>
      </c>
      <c r="X248" s="24">
        <f t="shared" si="276"/>
        <v>0</v>
      </c>
      <c r="Y248" s="26">
        <f t="shared" si="277"/>
        <v>0</v>
      </c>
      <c r="Z248" s="27">
        <f t="shared" si="278"/>
        <v>0</v>
      </c>
      <c r="AA248" s="28">
        <f t="shared" si="279"/>
        <v>45352</v>
      </c>
      <c r="AB248" s="24">
        <f t="shared" si="280"/>
        <v>0</v>
      </c>
      <c r="AC248" s="25">
        <f t="shared" si="281"/>
        <v>0</v>
      </c>
      <c r="AD248" s="28">
        <f t="shared" si="282"/>
        <v>45352</v>
      </c>
      <c r="AE248" s="24">
        <f t="shared" si="283"/>
        <v>0</v>
      </c>
      <c r="AF248" s="25">
        <f t="shared" si="284"/>
        <v>0</v>
      </c>
      <c r="AG248" s="28">
        <f t="shared" si="285"/>
        <v>45352</v>
      </c>
      <c r="AH248" s="24">
        <f t="shared" si="286"/>
        <v>0</v>
      </c>
      <c r="AI248" s="25">
        <f t="shared" si="287"/>
        <v>0</v>
      </c>
      <c r="AJ248" s="28">
        <f t="shared" si="288"/>
        <v>45352</v>
      </c>
      <c r="AK248" s="24">
        <f t="shared" si="289"/>
        <v>0</v>
      </c>
      <c r="AL248" s="25">
        <f t="shared" si="290"/>
        <v>0</v>
      </c>
      <c r="AM248" s="29">
        <f t="shared" si="291"/>
        <v>0</v>
      </c>
      <c r="AN248" s="28">
        <f t="shared" si="292"/>
        <v>45352</v>
      </c>
      <c r="AO248" s="373">
        <f t="shared" si="261"/>
        <v>0</v>
      </c>
      <c r="AP248" s="374">
        <f t="shared" si="262"/>
        <v>0</v>
      </c>
      <c r="AQ248" s="27">
        <f t="shared" si="263"/>
        <v>0</v>
      </c>
      <c r="AR248" s="25">
        <f t="shared" si="264"/>
        <v>0</v>
      </c>
      <c r="AS248" s="25">
        <f t="shared" si="265"/>
        <v>0</v>
      </c>
      <c r="AT248" s="25">
        <f t="shared" si="266"/>
        <v>0</v>
      </c>
      <c r="AU248" s="29">
        <f t="shared" si="323"/>
        <v>0</v>
      </c>
      <c r="AV248" s="27">
        <f t="shared" si="293"/>
        <v>0</v>
      </c>
      <c r="AW248" s="27">
        <f t="shared" si="294"/>
        <v>0</v>
      </c>
      <c r="AX248" s="27">
        <f t="shared" si="295"/>
        <v>0</v>
      </c>
      <c r="AY248" s="27">
        <f t="shared" si="296"/>
        <v>0</v>
      </c>
      <c r="BH248" s="2">
        <f t="shared" si="297"/>
        <v>0</v>
      </c>
      <c r="BI248" s="298" t="str">
        <f t="shared" si="298"/>
        <v/>
      </c>
      <c r="BJ248" s="298" t="str">
        <f t="shared" si="267"/>
        <v/>
      </c>
      <c r="BQ248" s="4">
        <f t="shared" si="299"/>
        <v>45352</v>
      </c>
      <c r="BR248" s="112">
        <f t="shared" si="300"/>
        <v>0</v>
      </c>
      <c r="BS248" s="112">
        <f t="shared" si="301"/>
        <v>0</v>
      </c>
      <c r="BT248" s="112">
        <f t="shared" si="302"/>
        <v>0</v>
      </c>
      <c r="BU248" s="112">
        <f t="shared" si="303"/>
        <v>0</v>
      </c>
      <c r="BV248" s="112">
        <f t="shared" si="304"/>
        <v>0</v>
      </c>
      <c r="CI248" s="4">
        <f t="shared" si="305"/>
        <v>45352</v>
      </c>
      <c r="CJ248" s="50">
        <f ca="1">IF($BH248=0,IF($CO248="",CJ247+R248,IF('283'!$K$251=1,VLOOKUP($CO248,PerStBal,2)+R248,IF('283'!$K$253=1,(VLOOKUP($CO248,PerPortion,2)*VLOOKUP($CO248,PerStBal,6))+R248,GL!BS248))),0)</f>
        <v>0</v>
      </c>
      <c r="CK248" s="425">
        <f ca="1">IF($BH248=0,IF($CO248="",CK247+T248,IF('283'!$K$251=1,IF(mname2&lt;&gt;"",VLOOKUP($CO248,PerStBal,3)+T248,0),IF('283'!$K$253=1,(VLOOKUP($CO248,PerPortion,3)*VLOOKUP($CO248,PerStBal,6))+T248,GL!BT248))),0)</f>
        <v>0</v>
      </c>
      <c r="CL248" s="425">
        <f ca="1">IF($BH248=0,IF($CO248="",CL247+V248,IF('283'!$K$251=1,IF(mname3&lt;&gt;"",VLOOKUP($CO248,PerStBal,4)+V248,0),IF('283'!$K$253=1,(VLOOKUP($CO248,PerPortion,4)*VLOOKUP($CO248,PerStBal,6))+V248,GL!BU248))),0)</f>
        <v>0</v>
      </c>
      <c r="CM248" s="425">
        <f ca="1">IF($BH248=0,IF($CO248="",CM247+X248,IF('283'!$K$251=1,IF(mname4&lt;&gt;"",VLOOKUP($CO248,PerStBal,5)+X248,0),IF('283'!$K$253=1,(VLOOKUP($CO248,PerPortion,5)*VLOOKUP($CO248,PerStBal,6))+X248,GL!BV248))),0)</f>
        <v>0</v>
      </c>
      <c r="CN248" s="50">
        <f t="shared" ca="1" si="306"/>
        <v>0</v>
      </c>
      <c r="CO248" s="4" t="str">
        <f t="shared" ca="1" si="307"/>
        <v/>
      </c>
      <c r="CP248" s="377">
        <f t="shared" si="268"/>
        <v>0</v>
      </c>
      <c r="DI248" s="4">
        <f t="shared" si="308"/>
        <v>45352</v>
      </c>
      <c r="DJ248" s="112">
        <f t="shared" ca="1" si="309"/>
        <v>0</v>
      </c>
      <c r="DK248" s="112">
        <f t="shared" si="310"/>
        <v>0</v>
      </c>
      <c r="DL248" s="4">
        <f t="shared" si="311"/>
        <v>45352</v>
      </c>
      <c r="DM248" s="112">
        <f t="shared" ca="1" si="312"/>
        <v>0</v>
      </c>
      <c r="DN248" s="112">
        <f t="shared" si="313"/>
        <v>0</v>
      </c>
      <c r="DO248" s="4">
        <f t="shared" si="314"/>
        <v>45352</v>
      </c>
      <c r="DP248" s="112">
        <f t="shared" ca="1" si="315"/>
        <v>0</v>
      </c>
      <c r="DQ248" s="112">
        <f t="shared" si="316"/>
        <v>0</v>
      </c>
      <c r="DR248" s="4">
        <f t="shared" si="317"/>
        <v>45352</v>
      </c>
      <c r="DS248" s="112">
        <f t="shared" ca="1" si="318"/>
        <v>0</v>
      </c>
      <c r="DT248" s="112">
        <f t="shared" si="319"/>
        <v>0</v>
      </c>
      <c r="DU248" s="4">
        <f t="shared" si="320"/>
        <v>45352</v>
      </c>
      <c r="DV248" s="112">
        <f t="shared" si="321"/>
        <v>0</v>
      </c>
      <c r="DW248" s="112">
        <f t="shared" si="322"/>
        <v>0</v>
      </c>
    </row>
    <row r="249" spans="3:127" x14ac:dyDescent="0.25">
      <c r="C249" s="109" t="str">
        <f>IF(MID('283'!$E69,4,3)="1 P",$C92,"")</f>
        <v/>
      </c>
      <c r="D249" s="110" t="str">
        <f>IF(MID('283'!$E69,4,3)="2 P",$C92,"")</f>
        <v/>
      </c>
      <c r="E249" s="110" t="str">
        <f>IF(MID('283'!$E69,4,3)="3 P",$C92,"")</f>
        <v/>
      </c>
      <c r="F249" s="111" t="str">
        <f>IF(MID('283'!$E69,4,3)="4 P",$C92,"")</f>
        <v/>
      </c>
      <c r="I249" s="143" t="str">
        <f>IF(MID('283'!$E69,4,3)="1 A",$J92,"")</f>
        <v/>
      </c>
      <c r="J249" s="144" t="str">
        <f>IF(MID('283'!$E69,4,3)="2 A",$J92,"")</f>
        <v/>
      </c>
      <c r="K249" s="144" t="str">
        <f>IF(MID('283'!$E69,4,3)="3 A",$J92,"")</f>
        <v/>
      </c>
      <c r="L249" s="145" t="str">
        <f>IF(MID('283'!$E69,4,3)="4 A",$J92,"")</f>
        <v/>
      </c>
      <c r="Q249" s="4">
        <f t="shared" si="269"/>
        <v>45353</v>
      </c>
      <c r="R249" s="24">
        <f t="shared" si="270"/>
        <v>0</v>
      </c>
      <c r="S249" s="25">
        <f t="shared" si="271"/>
        <v>0</v>
      </c>
      <c r="T249" s="24">
        <f t="shared" si="272"/>
        <v>0</v>
      </c>
      <c r="U249" s="25">
        <f t="shared" si="273"/>
        <v>0</v>
      </c>
      <c r="V249" s="24">
        <f t="shared" si="274"/>
        <v>0</v>
      </c>
      <c r="W249" s="25">
        <f t="shared" si="275"/>
        <v>0</v>
      </c>
      <c r="X249" s="24">
        <f t="shared" si="276"/>
        <v>0</v>
      </c>
      <c r="Y249" s="26">
        <f t="shared" si="277"/>
        <v>0</v>
      </c>
      <c r="Z249" s="27">
        <f t="shared" si="278"/>
        <v>0</v>
      </c>
      <c r="AA249" s="28">
        <f t="shared" si="279"/>
        <v>45353</v>
      </c>
      <c r="AB249" s="24">
        <f t="shared" si="280"/>
        <v>0</v>
      </c>
      <c r="AC249" s="25">
        <f t="shared" si="281"/>
        <v>0</v>
      </c>
      <c r="AD249" s="28">
        <f t="shared" si="282"/>
        <v>45353</v>
      </c>
      <c r="AE249" s="24">
        <f t="shared" si="283"/>
        <v>0</v>
      </c>
      <c r="AF249" s="25">
        <f t="shared" si="284"/>
        <v>0</v>
      </c>
      <c r="AG249" s="28">
        <f t="shared" si="285"/>
        <v>45353</v>
      </c>
      <c r="AH249" s="24">
        <f t="shared" si="286"/>
        <v>0</v>
      </c>
      <c r="AI249" s="25">
        <f t="shared" si="287"/>
        <v>0</v>
      </c>
      <c r="AJ249" s="28">
        <f t="shared" si="288"/>
        <v>45353</v>
      </c>
      <c r="AK249" s="24">
        <f t="shared" si="289"/>
        <v>0</v>
      </c>
      <c r="AL249" s="25">
        <f t="shared" si="290"/>
        <v>0</v>
      </c>
      <c r="AM249" s="29">
        <f t="shared" si="291"/>
        <v>0</v>
      </c>
      <c r="AN249" s="28">
        <f t="shared" si="292"/>
        <v>45353</v>
      </c>
      <c r="AO249" s="373">
        <f t="shared" si="261"/>
        <v>0</v>
      </c>
      <c r="AP249" s="374">
        <f t="shared" si="262"/>
        <v>0</v>
      </c>
      <c r="AQ249" s="27">
        <f t="shared" si="263"/>
        <v>0</v>
      </c>
      <c r="AR249" s="25">
        <f t="shared" si="264"/>
        <v>0</v>
      </c>
      <c r="AS249" s="25">
        <f t="shared" si="265"/>
        <v>0</v>
      </c>
      <c r="AT249" s="25">
        <f t="shared" si="266"/>
        <v>0</v>
      </c>
      <c r="AU249" s="29">
        <f t="shared" si="323"/>
        <v>0</v>
      </c>
      <c r="AV249" s="27">
        <f t="shared" si="293"/>
        <v>0</v>
      </c>
      <c r="AW249" s="27">
        <f t="shared" si="294"/>
        <v>0</v>
      </c>
      <c r="AX249" s="27">
        <f t="shared" si="295"/>
        <v>0</v>
      </c>
      <c r="AY249" s="27">
        <f t="shared" si="296"/>
        <v>0</v>
      </c>
      <c r="BH249" s="2">
        <f t="shared" si="297"/>
        <v>0</v>
      </c>
      <c r="BI249" s="298" t="str">
        <f t="shared" si="298"/>
        <v/>
      </c>
      <c r="BJ249" s="298" t="str">
        <f t="shared" si="267"/>
        <v/>
      </c>
      <c r="BQ249" s="4">
        <f t="shared" si="299"/>
        <v>45353</v>
      </c>
      <c r="BR249" s="112">
        <f t="shared" si="300"/>
        <v>0</v>
      </c>
      <c r="BS249" s="112">
        <f t="shared" si="301"/>
        <v>0</v>
      </c>
      <c r="BT249" s="112">
        <f t="shared" si="302"/>
        <v>0</v>
      </c>
      <c r="BU249" s="112">
        <f t="shared" si="303"/>
        <v>0</v>
      </c>
      <c r="BV249" s="112">
        <f t="shared" si="304"/>
        <v>0</v>
      </c>
      <c r="CI249" s="4">
        <f t="shared" si="305"/>
        <v>45353</v>
      </c>
      <c r="CJ249" s="50">
        <f ca="1">IF($BH249=0,IF($CO249="",CJ248+R249,IF('283'!$K$251=1,VLOOKUP($CO249,PerStBal,2)+R249,IF('283'!$K$253=1,(VLOOKUP($CO249,PerPortion,2)*VLOOKUP($CO249,PerStBal,6))+R249,GL!BS249))),0)</f>
        <v>0</v>
      </c>
      <c r="CK249" s="425">
        <f ca="1">IF($BH249=0,IF($CO249="",CK248+T249,IF('283'!$K$251=1,IF(mname2&lt;&gt;"",VLOOKUP($CO249,PerStBal,3)+T249,0),IF('283'!$K$253=1,(VLOOKUP($CO249,PerPortion,3)*VLOOKUP($CO249,PerStBal,6))+T249,GL!BT249))),0)</f>
        <v>0</v>
      </c>
      <c r="CL249" s="425">
        <f ca="1">IF($BH249=0,IF($CO249="",CL248+V249,IF('283'!$K$251=1,IF(mname3&lt;&gt;"",VLOOKUP($CO249,PerStBal,4)+V249,0),IF('283'!$K$253=1,(VLOOKUP($CO249,PerPortion,4)*VLOOKUP($CO249,PerStBal,6))+V249,GL!BU249))),0)</f>
        <v>0</v>
      </c>
      <c r="CM249" s="425">
        <f ca="1">IF($BH249=0,IF($CO249="",CM248+X249,IF('283'!$K$251=1,IF(mname4&lt;&gt;"",VLOOKUP($CO249,PerStBal,5)+X249,0),IF('283'!$K$253=1,(VLOOKUP($CO249,PerPortion,5)*VLOOKUP($CO249,PerStBal,6))+X249,GL!BV249))),0)</f>
        <v>0</v>
      </c>
      <c r="CN249" s="50">
        <f t="shared" ca="1" si="306"/>
        <v>0</v>
      </c>
      <c r="CO249" s="4" t="str">
        <f t="shared" ca="1" si="307"/>
        <v/>
      </c>
      <c r="CP249" s="377">
        <f t="shared" si="268"/>
        <v>0</v>
      </c>
      <c r="DI249" s="4">
        <f t="shared" si="308"/>
        <v>45353</v>
      </c>
      <c r="DJ249" s="112">
        <f t="shared" ca="1" si="309"/>
        <v>0</v>
      </c>
      <c r="DK249" s="112">
        <f t="shared" si="310"/>
        <v>0</v>
      </c>
      <c r="DL249" s="4">
        <f t="shared" si="311"/>
        <v>45353</v>
      </c>
      <c r="DM249" s="112">
        <f t="shared" ca="1" si="312"/>
        <v>0</v>
      </c>
      <c r="DN249" s="112">
        <f t="shared" si="313"/>
        <v>0</v>
      </c>
      <c r="DO249" s="4">
        <f t="shared" si="314"/>
        <v>45353</v>
      </c>
      <c r="DP249" s="112">
        <f t="shared" ca="1" si="315"/>
        <v>0</v>
      </c>
      <c r="DQ249" s="112">
        <f t="shared" si="316"/>
        <v>0</v>
      </c>
      <c r="DR249" s="4">
        <f t="shared" si="317"/>
        <v>45353</v>
      </c>
      <c r="DS249" s="112">
        <f t="shared" ca="1" si="318"/>
        <v>0</v>
      </c>
      <c r="DT249" s="112">
        <f t="shared" si="319"/>
        <v>0</v>
      </c>
      <c r="DU249" s="4">
        <f t="shared" si="320"/>
        <v>45353</v>
      </c>
      <c r="DV249" s="112">
        <f t="shared" si="321"/>
        <v>0</v>
      </c>
      <c r="DW249" s="112">
        <f t="shared" si="322"/>
        <v>0</v>
      </c>
    </row>
    <row r="250" spans="3:127" x14ac:dyDescent="0.25">
      <c r="C250" s="109" t="str">
        <f>IF(MID('283'!$E70,4,3)="1 P",$C93,"")</f>
        <v/>
      </c>
      <c r="D250" s="110" t="str">
        <f>IF(MID('283'!$E70,4,3)="2 P",$C93,"")</f>
        <v/>
      </c>
      <c r="E250" s="110" t="str">
        <f>IF(MID('283'!$E70,4,3)="3 P",$C93,"")</f>
        <v/>
      </c>
      <c r="F250" s="111" t="str">
        <f>IF(MID('283'!$E70,4,3)="4 P",$C93,"")</f>
        <v/>
      </c>
      <c r="I250" s="143" t="str">
        <f>IF(MID('283'!$E70,4,3)="1 A",$J93,"")</f>
        <v/>
      </c>
      <c r="J250" s="144" t="str">
        <f>IF(MID('283'!$E70,4,3)="2 A",$J93,"")</f>
        <v/>
      </c>
      <c r="K250" s="144" t="str">
        <f>IF(MID('283'!$E70,4,3)="3 A",$J93,"")</f>
        <v/>
      </c>
      <c r="L250" s="145" t="str">
        <f>IF(MID('283'!$E70,4,3)="4 A",$J93,"")</f>
        <v/>
      </c>
      <c r="Q250" s="4">
        <f t="shared" si="269"/>
        <v>45354</v>
      </c>
      <c r="R250" s="24">
        <f t="shared" si="270"/>
        <v>0</v>
      </c>
      <c r="S250" s="25">
        <f t="shared" si="271"/>
        <v>0</v>
      </c>
      <c r="T250" s="24">
        <f t="shared" si="272"/>
        <v>0</v>
      </c>
      <c r="U250" s="25">
        <f t="shared" si="273"/>
        <v>0</v>
      </c>
      <c r="V250" s="24">
        <f t="shared" si="274"/>
        <v>0</v>
      </c>
      <c r="W250" s="25">
        <f t="shared" si="275"/>
        <v>0</v>
      </c>
      <c r="X250" s="24">
        <f t="shared" si="276"/>
        <v>0</v>
      </c>
      <c r="Y250" s="26">
        <f t="shared" si="277"/>
        <v>0</v>
      </c>
      <c r="Z250" s="27">
        <f t="shared" si="278"/>
        <v>0</v>
      </c>
      <c r="AA250" s="28">
        <f t="shared" si="279"/>
        <v>45354</v>
      </c>
      <c r="AB250" s="24">
        <f t="shared" si="280"/>
        <v>0</v>
      </c>
      <c r="AC250" s="25">
        <f t="shared" si="281"/>
        <v>0</v>
      </c>
      <c r="AD250" s="28">
        <f t="shared" si="282"/>
        <v>45354</v>
      </c>
      <c r="AE250" s="24">
        <f t="shared" si="283"/>
        <v>0</v>
      </c>
      <c r="AF250" s="25">
        <f t="shared" si="284"/>
        <v>0</v>
      </c>
      <c r="AG250" s="28">
        <f t="shared" si="285"/>
        <v>45354</v>
      </c>
      <c r="AH250" s="24">
        <f t="shared" si="286"/>
        <v>0</v>
      </c>
      <c r="AI250" s="25">
        <f t="shared" si="287"/>
        <v>0</v>
      </c>
      <c r="AJ250" s="28">
        <f t="shared" si="288"/>
        <v>45354</v>
      </c>
      <c r="AK250" s="24">
        <f t="shared" si="289"/>
        <v>0</v>
      </c>
      <c r="AL250" s="25">
        <f t="shared" si="290"/>
        <v>0</v>
      </c>
      <c r="AM250" s="29">
        <f t="shared" si="291"/>
        <v>0</v>
      </c>
      <c r="AN250" s="28">
        <f t="shared" si="292"/>
        <v>45354</v>
      </c>
      <c r="AO250" s="373">
        <f t="shared" si="261"/>
        <v>0</v>
      </c>
      <c r="AP250" s="374">
        <f t="shared" si="262"/>
        <v>0</v>
      </c>
      <c r="AQ250" s="27">
        <f t="shared" si="263"/>
        <v>0</v>
      </c>
      <c r="AR250" s="25">
        <f t="shared" si="264"/>
        <v>0</v>
      </c>
      <c r="AS250" s="25">
        <f t="shared" si="265"/>
        <v>0</v>
      </c>
      <c r="AT250" s="25">
        <f t="shared" si="266"/>
        <v>0</v>
      </c>
      <c r="AU250" s="29">
        <f t="shared" si="323"/>
        <v>0</v>
      </c>
      <c r="AV250" s="27">
        <f t="shared" si="293"/>
        <v>0</v>
      </c>
      <c r="AW250" s="27">
        <f t="shared" si="294"/>
        <v>0</v>
      </c>
      <c r="AX250" s="27">
        <f t="shared" si="295"/>
        <v>0</v>
      </c>
      <c r="AY250" s="27">
        <f t="shared" si="296"/>
        <v>0</v>
      </c>
      <c r="BH250" s="2">
        <f t="shared" si="297"/>
        <v>0</v>
      </c>
      <c r="BI250" s="298" t="str">
        <f t="shared" si="298"/>
        <v/>
      </c>
      <c r="BJ250" s="298" t="str">
        <f t="shared" si="267"/>
        <v/>
      </c>
      <c r="BQ250" s="4">
        <f t="shared" si="299"/>
        <v>45354</v>
      </c>
      <c r="BR250" s="112">
        <f t="shared" si="300"/>
        <v>0</v>
      </c>
      <c r="BS250" s="112">
        <f t="shared" si="301"/>
        <v>0</v>
      </c>
      <c r="BT250" s="112">
        <f t="shared" si="302"/>
        <v>0</v>
      </c>
      <c r="BU250" s="112">
        <f t="shared" si="303"/>
        <v>0</v>
      </c>
      <c r="BV250" s="112">
        <f t="shared" si="304"/>
        <v>0</v>
      </c>
      <c r="CI250" s="4">
        <f t="shared" si="305"/>
        <v>45354</v>
      </c>
      <c r="CJ250" s="50">
        <f ca="1">IF($BH250=0,IF($CO250="",CJ249+R250,IF('283'!$K$251=1,VLOOKUP($CO250,PerStBal,2)+R250,IF('283'!$K$253=1,(VLOOKUP($CO250,PerPortion,2)*VLOOKUP($CO250,PerStBal,6))+R250,GL!BS250))),0)</f>
        <v>0</v>
      </c>
      <c r="CK250" s="425">
        <f ca="1">IF($BH250=0,IF($CO250="",CK249+T250,IF('283'!$K$251=1,IF(mname2&lt;&gt;"",VLOOKUP($CO250,PerStBal,3)+T250,0),IF('283'!$K$253=1,(VLOOKUP($CO250,PerPortion,3)*VLOOKUP($CO250,PerStBal,6))+T250,GL!BT250))),0)</f>
        <v>0</v>
      </c>
      <c r="CL250" s="425">
        <f ca="1">IF($BH250=0,IF($CO250="",CL249+V250,IF('283'!$K$251=1,IF(mname3&lt;&gt;"",VLOOKUP($CO250,PerStBal,4)+V250,0),IF('283'!$K$253=1,(VLOOKUP($CO250,PerPortion,4)*VLOOKUP($CO250,PerStBal,6))+V250,GL!BU250))),0)</f>
        <v>0</v>
      </c>
      <c r="CM250" s="425">
        <f ca="1">IF($BH250=0,IF($CO250="",CM249+X250,IF('283'!$K$251=1,IF(mname4&lt;&gt;"",VLOOKUP($CO250,PerStBal,5)+X250,0),IF('283'!$K$253=1,(VLOOKUP($CO250,PerPortion,5)*VLOOKUP($CO250,PerStBal,6))+X250,GL!BV250))),0)</f>
        <v>0</v>
      </c>
      <c r="CN250" s="50">
        <f t="shared" ca="1" si="306"/>
        <v>0</v>
      </c>
      <c r="CO250" s="4" t="str">
        <f t="shared" ca="1" si="307"/>
        <v/>
      </c>
      <c r="CP250" s="377">
        <f t="shared" si="268"/>
        <v>0</v>
      </c>
      <c r="DI250" s="4">
        <f t="shared" si="308"/>
        <v>45354</v>
      </c>
      <c r="DJ250" s="112">
        <f t="shared" ca="1" si="309"/>
        <v>0</v>
      </c>
      <c r="DK250" s="112">
        <f t="shared" si="310"/>
        <v>0</v>
      </c>
      <c r="DL250" s="4">
        <f t="shared" si="311"/>
        <v>45354</v>
      </c>
      <c r="DM250" s="112">
        <f t="shared" ca="1" si="312"/>
        <v>0</v>
      </c>
      <c r="DN250" s="112">
        <f t="shared" si="313"/>
        <v>0</v>
      </c>
      <c r="DO250" s="4">
        <f t="shared" si="314"/>
        <v>45354</v>
      </c>
      <c r="DP250" s="112">
        <f t="shared" ca="1" si="315"/>
        <v>0</v>
      </c>
      <c r="DQ250" s="112">
        <f t="shared" si="316"/>
        <v>0</v>
      </c>
      <c r="DR250" s="4">
        <f t="shared" si="317"/>
        <v>45354</v>
      </c>
      <c r="DS250" s="112">
        <f t="shared" ca="1" si="318"/>
        <v>0</v>
      </c>
      <c r="DT250" s="112">
        <f t="shared" si="319"/>
        <v>0</v>
      </c>
      <c r="DU250" s="4">
        <f t="shared" si="320"/>
        <v>45354</v>
      </c>
      <c r="DV250" s="112">
        <f t="shared" si="321"/>
        <v>0</v>
      </c>
      <c r="DW250" s="112">
        <f t="shared" si="322"/>
        <v>0</v>
      </c>
    </row>
    <row r="251" spans="3:127" x14ac:dyDescent="0.25">
      <c r="C251" s="114" t="str">
        <f>IF(MID('283'!$E71,4,3)="1 P",$C94,"")</f>
        <v/>
      </c>
      <c r="D251" s="115" t="str">
        <f>IF(MID('283'!$E71,4,3)="2 P",$C94,"")</f>
        <v/>
      </c>
      <c r="E251" s="115" t="str">
        <f>IF(MID('283'!$E71,4,3)="3 P",$C94,"")</f>
        <v/>
      </c>
      <c r="F251" s="116" t="str">
        <f>IF(MID('283'!$E71,4,3)="4 P",$C94,"")</f>
        <v/>
      </c>
      <c r="I251" s="146" t="str">
        <f>IF(MID('283'!$E71,4,3)="1 A",$J94,"")</f>
        <v/>
      </c>
      <c r="J251" s="147" t="str">
        <f>IF(MID('283'!$E71,4,3)="2 A",$J94,"")</f>
        <v/>
      </c>
      <c r="K251" s="147" t="str">
        <f>IF(MID('283'!$E71,4,3)="3 A",$J94,"")</f>
        <v/>
      </c>
      <c r="L251" s="148" t="str">
        <f>IF(MID('283'!$E71,4,3)="4 A",$J94,"")</f>
        <v/>
      </c>
      <c r="Q251" s="4">
        <f t="shared" si="269"/>
        <v>45355</v>
      </c>
      <c r="R251" s="24">
        <f t="shared" si="270"/>
        <v>0</v>
      </c>
      <c r="S251" s="25">
        <f t="shared" si="271"/>
        <v>0</v>
      </c>
      <c r="T251" s="24">
        <f t="shared" si="272"/>
        <v>0</v>
      </c>
      <c r="U251" s="25">
        <f t="shared" si="273"/>
        <v>0</v>
      </c>
      <c r="V251" s="24">
        <f t="shared" si="274"/>
        <v>0</v>
      </c>
      <c r="W251" s="25">
        <f t="shared" si="275"/>
        <v>0</v>
      </c>
      <c r="X251" s="24">
        <f t="shared" si="276"/>
        <v>0</v>
      </c>
      <c r="Y251" s="26">
        <f t="shared" si="277"/>
        <v>0</v>
      </c>
      <c r="Z251" s="27">
        <f t="shared" si="278"/>
        <v>0</v>
      </c>
      <c r="AA251" s="28">
        <f t="shared" si="279"/>
        <v>45355</v>
      </c>
      <c r="AB251" s="24">
        <f t="shared" si="280"/>
        <v>0</v>
      </c>
      <c r="AC251" s="25">
        <f t="shared" si="281"/>
        <v>0</v>
      </c>
      <c r="AD251" s="28">
        <f t="shared" si="282"/>
        <v>45355</v>
      </c>
      <c r="AE251" s="24">
        <f t="shared" si="283"/>
        <v>0</v>
      </c>
      <c r="AF251" s="25">
        <f t="shared" si="284"/>
        <v>0</v>
      </c>
      <c r="AG251" s="28">
        <f t="shared" si="285"/>
        <v>45355</v>
      </c>
      <c r="AH251" s="24">
        <f t="shared" si="286"/>
        <v>0</v>
      </c>
      <c r="AI251" s="25">
        <f t="shared" si="287"/>
        <v>0</v>
      </c>
      <c r="AJ251" s="28">
        <f t="shared" si="288"/>
        <v>45355</v>
      </c>
      <c r="AK251" s="24">
        <f t="shared" si="289"/>
        <v>0</v>
      </c>
      <c r="AL251" s="25">
        <f t="shared" si="290"/>
        <v>0</v>
      </c>
      <c r="AM251" s="29">
        <f t="shared" si="291"/>
        <v>0</v>
      </c>
      <c r="AN251" s="28">
        <f t="shared" si="292"/>
        <v>45355</v>
      </c>
      <c r="AO251" s="373">
        <f t="shared" si="261"/>
        <v>0</v>
      </c>
      <c r="AP251" s="374">
        <f t="shared" si="262"/>
        <v>0</v>
      </c>
      <c r="AQ251" s="27">
        <f t="shared" si="263"/>
        <v>0</v>
      </c>
      <c r="AR251" s="25">
        <f t="shared" si="264"/>
        <v>0</v>
      </c>
      <c r="AS251" s="25">
        <f t="shared" si="265"/>
        <v>0</v>
      </c>
      <c r="AT251" s="25">
        <f t="shared" si="266"/>
        <v>0</v>
      </c>
      <c r="AU251" s="29">
        <f t="shared" si="323"/>
        <v>0</v>
      </c>
      <c r="AV251" s="27">
        <f t="shared" si="293"/>
        <v>0</v>
      </c>
      <c r="AW251" s="27">
        <f t="shared" si="294"/>
        <v>0</v>
      </c>
      <c r="AX251" s="27">
        <f t="shared" si="295"/>
        <v>0</v>
      </c>
      <c r="AY251" s="27">
        <f t="shared" si="296"/>
        <v>0</v>
      </c>
      <c r="BH251" s="2">
        <f t="shared" si="297"/>
        <v>0</v>
      </c>
      <c r="BI251" s="298" t="str">
        <f t="shared" si="298"/>
        <v/>
      </c>
      <c r="BJ251" s="298" t="str">
        <f t="shared" si="267"/>
        <v/>
      </c>
      <c r="BQ251" s="4">
        <f t="shared" si="299"/>
        <v>45355</v>
      </c>
      <c r="BR251" s="112">
        <f t="shared" si="300"/>
        <v>0</v>
      </c>
      <c r="BS251" s="112">
        <f t="shared" si="301"/>
        <v>0</v>
      </c>
      <c r="BT251" s="112">
        <f t="shared" si="302"/>
        <v>0</v>
      </c>
      <c r="BU251" s="112">
        <f t="shared" si="303"/>
        <v>0</v>
      </c>
      <c r="BV251" s="112">
        <f t="shared" si="304"/>
        <v>0</v>
      </c>
      <c r="CI251" s="4">
        <f t="shared" si="305"/>
        <v>45355</v>
      </c>
      <c r="CJ251" s="50">
        <f ca="1">IF($BH251=0,IF($CO251="",CJ250+R251,IF('283'!$K$251=1,VLOOKUP($CO251,PerStBal,2)+R251,IF('283'!$K$253=1,(VLOOKUP($CO251,PerPortion,2)*VLOOKUP($CO251,PerStBal,6))+R251,GL!BS251))),0)</f>
        <v>0</v>
      </c>
      <c r="CK251" s="425">
        <f ca="1">IF($BH251=0,IF($CO251="",CK250+T251,IF('283'!$K$251=1,IF(mname2&lt;&gt;"",VLOOKUP($CO251,PerStBal,3)+T251,0),IF('283'!$K$253=1,(VLOOKUP($CO251,PerPortion,3)*VLOOKUP($CO251,PerStBal,6))+T251,GL!BT251))),0)</f>
        <v>0</v>
      </c>
      <c r="CL251" s="425">
        <f ca="1">IF($BH251=0,IF($CO251="",CL250+V251,IF('283'!$K$251=1,IF(mname3&lt;&gt;"",VLOOKUP($CO251,PerStBal,4)+V251,0),IF('283'!$K$253=1,(VLOOKUP($CO251,PerPortion,4)*VLOOKUP($CO251,PerStBal,6))+V251,GL!BU251))),0)</f>
        <v>0</v>
      </c>
      <c r="CM251" s="425">
        <f ca="1">IF($BH251=0,IF($CO251="",CM250+X251,IF('283'!$K$251=1,IF(mname4&lt;&gt;"",VLOOKUP($CO251,PerStBal,5)+X251,0),IF('283'!$K$253=1,(VLOOKUP($CO251,PerPortion,5)*VLOOKUP($CO251,PerStBal,6))+X251,GL!BV251))),0)</f>
        <v>0</v>
      </c>
      <c r="CN251" s="50">
        <f t="shared" ca="1" si="306"/>
        <v>0</v>
      </c>
      <c r="CO251" s="4" t="str">
        <f t="shared" ca="1" si="307"/>
        <v/>
      </c>
      <c r="CP251" s="377">
        <f t="shared" si="268"/>
        <v>0</v>
      </c>
      <c r="DI251" s="4">
        <f t="shared" si="308"/>
        <v>45355</v>
      </c>
      <c r="DJ251" s="112">
        <f t="shared" ca="1" si="309"/>
        <v>0</v>
      </c>
      <c r="DK251" s="112">
        <f t="shared" si="310"/>
        <v>0</v>
      </c>
      <c r="DL251" s="4">
        <f t="shared" si="311"/>
        <v>45355</v>
      </c>
      <c r="DM251" s="112">
        <f t="shared" ca="1" si="312"/>
        <v>0</v>
      </c>
      <c r="DN251" s="112">
        <f t="shared" si="313"/>
        <v>0</v>
      </c>
      <c r="DO251" s="4">
        <f t="shared" si="314"/>
        <v>45355</v>
      </c>
      <c r="DP251" s="112">
        <f t="shared" ca="1" si="315"/>
        <v>0</v>
      </c>
      <c r="DQ251" s="112">
        <f t="shared" si="316"/>
        <v>0</v>
      </c>
      <c r="DR251" s="4">
        <f t="shared" si="317"/>
        <v>45355</v>
      </c>
      <c r="DS251" s="112">
        <f t="shared" ca="1" si="318"/>
        <v>0</v>
      </c>
      <c r="DT251" s="112">
        <f t="shared" si="319"/>
        <v>0</v>
      </c>
      <c r="DU251" s="4">
        <f t="shared" si="320"/>
        <v>45355</v>
      </c>
      <c r="DV251" s="112">
        <f t="shared" si="321"/>
        <v>0</v>
      </c>
      <c r="DW251" s="112">
        <f t="shared" si="322"/>
        <v>0</v>
      </c>
    </row>
    <row r="252" spans="3:127" x14ac:dyDescent="0.25">
      <c r="Q252" s="4">
        <f t="shared" si="269"/>
        <v>45356</v>
      </c>
      <c r="R252" s="24">
        <f t="shared" si="270"/>
        <v>0</v>
      </c>
      <c r="S252" s="25">
        <f t="shared" si="271"/>
        <v>0</v>
      </c>
      <c r="T252" s="24">
        <f t="shared" si="272"/>
        <v>0</v>
      </c>
      <c r="U252" s="25">
        <f t="shared" si="273"/>
        <v>0</v>
      </c>
      <c r="V252" s="24">
        <f t="shared" si="274"/>
        <v>0</v>
      </c>
      <c r="W252" s="25">
        <f t="shared" si="275"/>
        <v>0</v>
      </c>
      <c r="X252" s="24">
        <f t="shared" si="276"/>
        <v>0</v>
      </c>
      <c r="Y252" s="26">
        <f t="shared" si="277"/>
        <v>0</v>
      </c>
      <c r="Z252" s="27">
        <f t="shared" si="278"/>
        <v>0</v>
      </c>
      <c r="AA252" s="28">
        <f t="shared" si="279"/>
        <v>45356</v>
      </c>
      <c r="AB252" s="24">
        <f t="shared" si="280"/>
        <v>0</v>
      </c>
      <c r="AC252" s="25">
        <f t="shared" si="281"/>
        <v>0</v>
      </c>
      <c r="AD252" s="28">
        <f t="shared" si="282"/>
        <v>45356</v>
      </c>
      <c r="AE252" s="24">
        <f t="shared" si="283"/>
        <v>0</v>
      </c>
      <c r="AF252" s="25">
        <f t="shared" si="284"/>
        <v>0</v>
      </c>
      <c r="AG252" s="28">
        <f t="shared" si="285"/>
        <v>45356</v>
      </c>
      <c r="AH252" s="24">
        <f t="shared" si="286"/>
        <v>0</v>
      </c>
      <c r="AI252" s="25">
        <f t="shared" si="287"/>
        <v>0</v>
      </c>
      <c r="AJ252" s="28">
        <f t="shared" si="288"/>
        <v>45356</v>
      </c>
      <c r="AK252" s="24">
        <f t="shared" si="289"/>
        <v>0</v>
      </c>
      <c r="AL252" s="25">
        <f t="shared" si="290"/>
        <v>0</v>
      </c>
      <c r="AM252" s="29">
        <f t="shared" si="291"/>
        <v>0</v>
      </c>
      <c r="AN252" s="28">
        <f t="shared" si="292"/>
        <v>45356</v>
      </c>
      <c r="AO252" s="373">
        <f t="shared" si="261"/>
        <v>0</v>
      </c>
      <c r="AP252" s="374">
        <f t="shared" si="262"/>
        <v>0</v>
      </c>
      <c r="AQ252" s="27">
        <f t="shared" si="263"/>
        <v>0</v>
      </c>
      <c r="AR252" s="25">
        <f t="shared" si="264"/>
        <v>0</v>
      </c>
      <c r="AS252" s="25">
        <f t="shared" si="265"/>
        <v>0</v>
      </c>
      <c r="AT252" s="25">
        <f t="shared" si="266"/>
        <v>0</v>
      </c>
      <c r="AU252" s="29">
        <f t="shared" si="323"/>
        <v>0</v>
      </c>
      <c r="AV252" s="27">
        <f t="shared" si="293"/>
        <v>0</v>
      </c>
      <c r="AW252" s="27">
        <f t="shared" si="294"/>
        <v>0</v>
      </c>
      <c r="AX252" s="27">
        <f t="shared" si="295"/>
        <v>0</v>
      </c>
      <c r="AY252" s="27">
        <f t="shared" si="296"/>
        <v>0</v>
      </c>
      <c r="BH252" s="2">
        <f t="shared" si="297"/>
        <v>0</v>
      </c>
      <c r="BI252" s="298" t="str">
        <f t="shared" si="298"/>
        <v/>
      </c>
      <c r="BJ252" s="298" t="str">
        <f t="shared" si="267"/>
        <v/>
      </c>
      <c r="BQ252" s="4">
        <f t="shared" si="299"/>
        <v>45356</v>
      </c>
      <c r="BR252" s="112">
        <f t="shared" si="300"/>
        <v>0</v>
      </c>
      <c r="BS252" s="112">
        <f t="shared" si="301"/>
        <v>0</v>
      </c>
      <c r="BT252" s="112">
        <f t="shared" si="302"/>
        <v>0</v>
      </c>
      <c r="BU252" s="112">
        <f t="shared" si="303"/>
        <v>0</v>
      </c>
      <c r="BV252" s="112">
        <f t="shared" si="304"/>
        <v>0</v>
      </c>
      <c r="CI252" s="4">
        <f t="shared" si="305"/>
        <v>45356</v>
      </c>
      <c r="CJ252" s="50">
        <f ca="1">IF($BH252=0,IF($CO252="",CJ251+R252,IF('283'!$K$251=1,VLOOKUP($CO252,PerStBal,2)+R252,IF('283'!$K$253=1,(VLOOKUP($CO252,PerPortion,2)*VLOOKUP($CO252,PerStBal,6))+R252,GL!BS252))),0)</f>
        <v>0</v>
      </c>
      <c r="CK252" s="425">
        <f ca="1">IF($BH252=0,IF($CO252="",CK251+T252,IF('283'!$K$251=1,IF(mname2&lt;&gt;"",VLOOKUP($CO252,PerStBal,3)+T252,0),IF('283'!$K$253=1,(VLOOKUP($CO252,PerPortion,3)*VLOOKUP($CO252,PerStBal,6))+T252,GL!BT252))),0)</f>
        <v>0</v>
      </c>
      <c r="CL252" s="425">
        <f ca="1">IF($BH252=0,IF($CO252="",CL251+V252,IF('283'!$K$251=1,IF(mname3&lt;&gt;"",VLOOKUP($CO252,PerStBal,4)+V252,0),IF('283'!$K$253=1,(VLOOKUP($CO252,PerPortion,4)*VLOOKUP($CO252,PerStBal,6))+V252,GL!BU252))),0)</f>
        <v>0</v>
      </c>
      <c r="CM252" s="425">
        <f ca="1">IF($BH252=0,IF($CO252="",CM251+X252,IF('283'!$K$251=1,IF(mname4&lt;&gt;"",VLOOKUP($CO252,PerStBal,5)+X252,0),IF('283'!$K$253=1,(VLOOKUP($CO252,PerPortion,5)*VLOOKUP($CO252,PerStBal,6))+X252,GL!BV252))),0)</f>
        <v>0</v>
      </c>
      <c r="CN252" s="50">
        <f t="shared" ca="1" si="306"/>
        <v>0</v>
      </c>
      <c r="CO252" s="4" t="str">
        <f t="shared" ca="1" si="307"/>
        <v/>
      </c>
      <c r="CP252" s="377">
        <f t="shared" si="268"/>
        <v>0</v>
      </c>
      <c r="DI252" s="4">
        <f t="shared" si="308"/>
        <v>45356</v>
      </c>
      <c r="DJ252" s="112">
        <f t="shared" ca="1" si="309"/>
        <v>0</v>
      </c>
      <c r="DK252" s="112">
        <f t="shared" si="310"/>
        <v>0</v>
      </c>
      <c r="DL252" s="4">
        <f t="shared" si="311"/>
        <v>45356</v>
      </c>
      <c r="DM252" s="112">
        <f t="shared" ca="1" si="312"/>
        <v>0</v>
      </c>
      <c r="DN252" s="112">
        <f t="shared" si="313"/>
        <v>0</v>
      </c>
      <c r="DO252" s="4">
        <f t="shared" si="314"/>
        <v>45356</v>
      </c>
      <c r="DP252" s="112">
        <f t="shared" ca="1" si="315"/>
        <v>0</v>
      </c>
      <c r="DQ252" s="112">
        <f t="shared" si="316"/>
        <v>0</v>
      </c>
      <c r="DR252" s="4">
        <f t="shared" si="317"/>
        <v>45356</v>
      </c>
      <c r="DS252" s="112">
        <f t="shared" ca="1" si="318"/>
        <v>0</v>
      </c>
      <c r="DT252" s="112">
        <f t="shared" si="319"/>
        <v>0</v>
      </c>
      <c r="DU252" s="4">
        <f t="shared" si="320"/>
        <v>45356</v>
      </c>
      <c r="DV252" s="112">
        <f t="shared" si="321"/>
        <v>0</v>
      </c>
      <c r="DW252" s="112">
        <f t="shared" si="322"/>
        <v>0</v>
      </c>
    </row>
    <row r="253" spans="3:127" x14ac:dyDescent="0.25">
      <c r="Q253" s="4">
        <f t="shared" si="269"/>
        <v>45357</v>
      </c>
      <c r="R253" s="24">
        <f t="shared" si="270"/>
        <v>0</v>
      </c>
      <c r="S253" s="25">
        <f t="shared" si="271"/>
        <v>0</v>
      </c>
      <c r="T253" s="24">
        <f t="shared" si="272"/>
        <v>0</v>
      </c>
      <c r="U253" s="25">
        <f t="shared" si="273"/>
        <v>0</v>
      </c>
      <c r="V253" s="24">
        <f t="shared" si="274"/>
        <v>0</v>
      </c>
      <c r="W253" s="25">
        <f t="shared" si="275"/>
        <v>0</v>
      </c>
      <c r="X253" s="24">
        <f t="shared" si="276"/>
        <v>0</v>
      </c>
      <c r="Y253" s="26">
        <f t="shared" si="277"/>
        <v>0</v>
      </c>
      <c r="Z253" s="27">
        <f t="shared" si="278"/>
        <v>0</v>
      </c>
      <c r="AA253" s="28">
        <f t="shared" si="279"/>
        <v>45357</v>
      </c>
      <c r="AB253" s="24">
        <f t="shared" si="280"/>
        <v>0</v>
      </c>
      <c r="AC253" s="25">
        <f t="shared" si="281"/>
        <v>0</v>
      </c>
      <c r="AD253" s="28">
        <f t="shared" si="282"/>
        <v>45357</v>
      </c>
      <c r="AE253" s="24">
        <f t="shared" si="283"/>
        <v>0</v>
      </c>
      <c r="AF253" s="25">
        <f t="shared" si="284"/>
        <v>0</v>
      </c>
      <c r="AG253" s="28">
        <f t="shared" si="285"/>
        <v>45357</v>
      </c>
      <c r="AH253" s="24">
        <f t="shared" si="286"/>
        <v>0</v>
      </c>
      <c r="AI253" s="25">
        <f t="shared" si="287"/>
        <v>0</v>
      </c>
      <c r="AJ253" s="28">
        <f t="shared" si="288"/>
        <v>45357</v>
      </c>
      <c r="AK253" s="24">
        <f t="shared" si="289"/>
        <v>0</v>
      </c>
      <c r="AL253" s="25">
        <f t="shared" si="290"/>
        <v>0</v>
      </c>
      <c r="AM253" s="29">
        <f t="shared" si="291"/>
        <v>0</v>
      </c>
      <c r="AN253" s="28">
        <f t="shared" si="292"/>
        <v>45357</v>
      </c>
      <c r="AO253" s="373">
        <f t="shared" si="261"/>
        <v>0</v>
      </c>
      <c r="AP253" s="374">
        <f t="shared" si="262"/>
        <v>0</v>
      </c>
      <c r="AQ253" s="27">
        <f t="shared" si="263"/>
        <v>0</v>
      </c>
      <c r="AR253" s="25">
        <f t="shared" si="264"/>
        <v>0</v>
      </c>
      <c r="AS253" s="25">
        <f t="shared" si="265"/>
        <v>0</v>
      </c>
      <c r="AT253" s="25">
        <f t="shared" si="266"/>
        <v>0</v>
      </c>
      <c r="AU253" s="29">
        <f t="shared" si="323"/>
        <v>0</v>
      </c>
      <c r="AV253" s="27">
        <f t="shared" si="293"/>
        <v>0</v>
      </c>
      <c r="AW253" s="27">
        <f t="shared" si="294"/>
        <v>0</v>
      </c>
      <c r="AX253" s="27">
        <f t="shared" si="295"/>
        <v>0</v>
      </c>
      <c r="AY253" s="27">
        <f t="shared" si="296"/>
        <v>0</v>
      </c>
      <c r="BH253" s="2">
        <f t="shared" si="297"/>
        <v>0</v>
      </c>
      <c r="BI253" s="298" t="str">
        <f t="shared" si="298"/>
        <v/>
      </c>
      <c r="BJ253" s="298" t="str">
        <f t="shared" si="267"/>
        <v/>
      </c>
      <c r="BQ253" s="4">
        <f t="shared" si="299"/>
        <v>45357</v>
      </c>
      <c r="BR253" s="112">
        <f t="shared" si="300"/>
        <v>0</v>
      </c>
      <c r="BS253" s="112">
        <f t="shared" si="301"/>
        <v>0</v>
      </c>
      <c r="BT253" s="112">
        <f t="shared" si="302"/>
        <v>0</v>
      </c>
      <c r="BU253" s="112">
        <f t="shared" si="303"/>
        <v>0</v>
      </c>
      <c r="BV253" s="112">
        <f t="shared" si="304"/>
        <v>0</v>
      </c>
      <c r="CI253" s="4">
        <f t="shared" si="305"/>
        <v>45357</v>
      </c>
      <c r="CJ253" s="50">
        <f ca="1">IF($BH253=0,IF($CO253="",CJ252+R253,IF('283'!$K$251=1,VLOOKUP($CO253,PerStBal,2)+R253,IF('283'!$K$253=1,(VLOOKUP($CO253,PerPortion,2)*VLOOKUP($CO253,PerStBal,6))+R253,GL!BS253))),0)</f>
        <v>0</v>
      </c>
      <c r="CK253" s="425">
        <f ca="1">IF($BH253=0,IF($CO253="",CK252+T253,IF('283'!$K$251=1,IF(mname2&lt;&gt;"",VLOOKUP($CO253,PerStBal,3)+T253,0),IF('283'!$K$253=1,(VLOOKUP($CO253,PerPortion,3)*VLOOKUP($CO253,PerStBal,6))+T253,GL!BT253))),0)</f>
        <v>0</v>
      </c>
      <c r="CL253" s="425">
        <f ca="1">IF($BH253=0,IF($CO253="",CL252+V253,IF('283'!$K$251=1,IF(mname3&lt;&gt;"",VLOOKUP($CO253,PerStBal,4)+V253,0),IF('283'!$K$253=1,(VLOOKUP($CO253,PerPortion,4)*VLOOKUP($CO253,PerStBal,6))+V253,GL!BU253))),0)</f>
        <v>0</v>
      </c>
      <c r="CM253" s="425">
        <f ca="1">IF($BH253=0,IF($CO253="",CM252+X253,IF('283'!$K$251=1,IF(mname4&lt;&gt;"",VLOOKUP($CO253,PerStBal,5)+X253,0),IF('283'!$K$253=1,(VLOOKUP($CO253,PerPortion,5)*VLOOKUP($CO253,PerStBal,6))+X253,GL!BV253))),0)</f>
        <v>0</v>
      </c>
      <c r="CN253" s="50">
        <f t="shared" ca="1" si="306"/>
        <v>0</v>
      </c>
      <c r="CO253" s="4" t="str">
        <f t="shared" ca="1" si="307"/>
        <v/>
      </c>
      <c r="CP253" s="377">
        <f t="shared" si="268"/>
        <v>0</v>
      </c>
      <c r="DI253" s="4">
        <f t="shared" si="308"/>
        <v>45357</v>
      </c>
      <c r="DJ253" s="112">
        <f t="shared" ca="1" si="309"/>
        <v>0</v>
      </c>
      <c r="DK253" s="112">
        <f t="shared" si="310"/>
        <v>0</v>
      </c>
      <c r="DL253" s="4">
        <f t="shared" si="311"/>
        <v>45357</v>
      </c>
      <c r="DM253" s="112">
        <f t="shared" ca="1" si="312"/>
        <v>0</v>
      </c>
      <c r="DN253" s="112">
        <f t="shared" si="313"/>
        <v>0</v>
      </c>
      <c r="DO253" s="4">
        <f t="shared" si="314"/>
        <v>45357</v>
      </c>
      <c r="DP253" s="112">
        <f t="shared" ca="1" si="315"/>
        <v>0</v>
      </c>
      <c r="DQ253" s="112">
        <f t="shared" si="316"/>
        <v>0</v>
      </c>
      <c r="DR253" s="4">
        <f t="shared" si="317"/>
        <v>45357</v>
      </c>
      <c r="DS253" s="112">
        <f t="shared" ca="1" si="318"/>
        <v>0</v>
      </c>
      <c r="DT253" s="112">
        <f t="shared" si="319"/>
        <v>0</v>
      </c>
      <c r="DU253" s="4">
        <f t="shared" si="320"/>
        <v>45357</v>
      </c>
      <c r="DV253" s="112">
        <f t="shared" si="321"/>
        <v>0</v>
      </c>
      <c r="DW253" s="112">
        <f t="shared" si="322"/>
        <v>0</v>
      </c>
    </row>
    <row r="254" spans="3:127" x14ac:dyDescent="0.25">
      <c r="I254" s="5"/>
      <c r="J254" s="2" t="s">
        <v>94</v>
      </c>
      <c r="K254" s="2" t="s">
        <v>95</v>
      </c>
      <c r="L254" s="2" t="s">
        <v>129</v>
      </c>
      <c r="Q254" s="4">
        <f t="shared" si="269"/>
        <v>45358</v>
      </c>
      <c r="R254" s="24">
        <f t="shared" si="270"/>
        <v>0</v>
      </c>
      <c r="S254" s="25">
        <f t="shared" si="271"/>
        <v>0</v>
      </c>
      <c r="T254" s="24">
        <f t="shared" si="272"/>
        <v>0</v>
      </c>
      <c r="U254" s="25">
        <f t="shared" si="273"/>
        <v>0</v>
      </c>
      <c r="V254" s="24">
        <f t="shared" si="274"/>
        <v>0</v>
      </c>
      <c r="W254" s="25">
        <f t="shared" si="275"/>
        <v>0</v>
      </c>
      <c r="X254" s="24">
        <f t="shared" si="276"/>
        <v>0</v>
      </c>
      <c r="Y254" s="26">
        <f t="shared" si="277"/>
        <v>0</v>
      </c>
      <c r="Z254" s="27">
        <f t="shared" si="278"/>
        <v>0</v>
      </c>
      <c r="AA254" s="28">
        <f t="shared" si="279"/>
        <v>45358</v>
      </c>
      <c r="AB254" s="24">
        <f t="shared" si="280"/>
        <v>0</v>
      </c>
      <c r="AC254" s="25">
        <f t="shared" si="281"/>
        <v>0</v>
      </c>
      <c r="AD254" s="28">
        <f t="shared" si="282"/>
        <v>45358</v>
      </c>
      <c r="AE254" s="24">
        <f t="shared" si="283"/>
        <v>0</v>
      </c>
      <c r="AF254" s="25">
        <f t="shared" si="284"/>
        <v>0</v>
      </c>
      <c r="AG254" s="28">
        <f t="shared" si="285"/>
        <v>45358</v>
      </c>
      <c r="AH254" s="24">
        <f t="shared" si="286"/>
        <v>0</v>
      </c>
      <c r="AI254" s="25">
        <f t="shared" si="287"/>
        <v>0</v>
      </c>
      <c r="AJ254" s="28">
        <f t="shared" si="288"/>
        <v>45358</v>
      </c>
      <c r="AK254" s="24">
        <f t="shared" si="289"/>
        <v>0</v>
      </c>
      <c r="AL254" s="25">
        <f t="shared" si="290"/>
        <v>0</v>
      </c>
      <c r="AM254" s="29">
        <f t="shared" si="291"/>
        <v>0</v>
      </c>
      <c r="AN254" s="28">
        <f t="shared" si="292"/>
        <v>45358</v>
      </c>
      <c r="AO254" s="373">
        <f t="shared" si="261"/>
        <v>0</v>
      </c>
      <c r="AP254" s="374">
        <f t="shared" si="262"/>
        <v>0</v>
      </c>
      <c r="AQ254" s="27">
        <f t="shared" si="263"/>
        <v>0</v>
      </c>
      <c r="AR254" s="25">
        <f t="shared" si="264"/>
        <v>0</v>
      </c>
      <c r="AS254" s="25">
        <f t="shared" si="265"/>
        <v>0</v>
      </c>
      <c r="AT254" s="25">
        <f t="shared" si="266"/>
        <v>0</v>
      </c>
      <c r="AU254" s="29">
        <f t="shared" si="323"/>
        <v>0</v>
      </c>
      <c r="AV254" s="27">
        <f t="shared" si="293"/>
        <v>0</v>
      </c>
      <c r="AW254" s="27">
        <f t="shared" si="294"/>
        <v>0</v>
      </c>
      <c r="AX254" s="27">
        <f t="shared" si="295"/>
        <v>0</v>
      </c>
      <c r="AY254" s="27">
        <f t="shared" si="296"/>
        <v>0</v>
      </c>
      <c r="BH254" s="2">
        <f t="shared" si="297"/>
        <v>0</v>
      </c>
      <c r="BI254" s="298" t="str">
        <f t="shared" si="298"/>
        <v/>
      </c>
      <c r="BJ254" s="298" t="str">
        <f t="shared" si="267"/>
        <v/>
      </c>
      <c r="BQ254" s="4">
        <f t="shared" si="299"/>
        <v>45358</v>
      </c>
      <c r="BR254" s="112">
        <f t="shared" si="300"/>
        <v>0</v>
      </c>
      <c r="BS254" s="112">
        <f t="shared" si="301"/>
        <v>0</v>
      </c>
      <c r="BT254" s="112">
        <f t="shared" si="302"/>
        <v>0</v>
      </c>
      <c r="BU254" s="112">
        <f t="shared" si="303"/>
        <v>0</v>
      </c>
      <c r="BV254" s="112">
        <f t="shared" si="304"/>
        <v>0</v>
      </c>
      <c r="CI254" s="4">
        <f t="shared" si="305"/>
        <v>45358</v>
      </c>
      <c r="CJ254" s="50">
        <f ca="1">IF($BH254=0,IF($CO254="",CJ253+R254,IF('283'!$K$251=1,VLOOKUP($CO254,PerStBal,2)+R254,IF('283'!$K$253=1,(VLOOKUP($CO254,PerPortion,2)*VLOOKUP($CO254,PerStBal,6))+R254,GL!BS254))),0)</f>
        <v>0</v>
      </c>
      <c r="CK254" s="425">
        <f ca="1">IF($BH254=0,IF($CO254="",CK253+T254,IF('283'!$K$251=1,IF(mname2&lt;&gt;"",VLOOKUP($CO254,PerStBal,3)+T254,0),IF('283'!$K$253=1,(VLOOKUP($CO254,PerPortion,3)*VLOOKUP($CO254,PerStBal,6))+T254,GL!BT254))),0)</f>
        <v>0</v>
      </c>
      <c r="CL254" s="425">
        <f ca="1">IF($BH254=0,IF($CO254="",CL253+V254,IF('283'!$K$251=1,IF(mname3&lt;&gt;"",VLOOKUP($CO254,PerStBal,4)+V254,0),IF('283'!$K$253=1,(VLOOKUP($CO254,PerPortion,4)*VLOOKUP($CO254,PerStBal,6))+V254,GL!BU254))),0)</f>
        <v>0</v>
      </c>
      <c r="CM254" s="425">
        <f ca="1">IF($BH254=0,IF($CO254="",CM253+X254,IF('283'!$K$251=1,IF(mname4&lt;&gt;"",VLOOKUP($CO254,PerStBal,5)+X254,0),IF('283'!$K$253=1,(VLOOKUP($CO254,PerPortion,5)*VLOOKUP($CO254,PerStBal,6))+X254,GL!BV254))),0)</f>
        <v>0</v>
      </c>
      <c r="CN254" s="50">
        <f t="shared" ca="1" si="306"/>
        <v>0</v>
      </c>
      <c r="CO254" s="4" t="str">
        <f t="shared" ca="1" si="307"/>
        <v/>
      </c>
      <c r="CP254" s="377">
        <f t="shared" si="268"/>
        <v>0</v>
      </c>
      <c r="DI254" s="4">
        <f t="shared" si="308"/>
        <v>45358</v>
      </c>
      <c r="DJ254" s="112">
        <f t="shared" ca="1" si="309"/>
        <v>0</v>
      </c>
      <c r="DK254" s="112">
        <f t="shared" si="310"/>
        <v>0</v>
      </c>
      <c r="DL254" s="4">
        <f t="shared" si="311"/>
        <v>45358</v>
      </c>
      <c r="DM254" s="112">
        <f t="shared" ca="1" si="312"/>
        <v>0</v>
      </c>
      <c r="DN254" s="112">
        <f t="shared" si="313"/>
        <v>0</v>
      </c>
      <c r="DO254" s="4">
        <f t="shared" si="314"/>
        <v>45358</v>
      </c>
      <c r="DP254" s="112">
        <f t="shared" ca="1" si="315"/>
        <v>0</v>
      </c>
      <c r="DQ254" s="112">
        <f t="shared" si="316"/>
        <v>0</v>
      </c>
      <c r="DR254" s="4">
        <f t="shared" si="317"/>
        <v>45358</v>
      </c>
      <c r="DS254" s="112">
        <f t="shared" ca="1" si="318"/>
        <v>0</v>
      </c>
      <c r="DT254" s="112">
        <f t="shared" si="319"/>
        <v>0</v>
      </c>
      <c r="DU254" s="4">
        <f t="shared" si="320"/>
        <v>45358</v>
      </c>
      <c r="DV254" s="112">
        <f t="shared" si="321"/>
        <v>0</v>
      </c>
      <c r="DW254" s="112">
        <f t="shared" si="322"/>
        <v>0</v>
      </c>
    </row>
    <row r="255" spans="3:127" x14ac:dyDescent="0.25">
      <c r="H255" s="2" t="s">
        <v>0</v>
      </c>
      <c r="I255" s="5" t="s">
        <v>130</v>
      </c>
      <c r="J255" s="112">
        <f ca="1">C111-C208-D100</f>
        <v>0</v>
      </c>
      <c r="K255" s="113">
        <f ca="1">I111-I209+K100</f>
        <v>0</v>
      </c>
      <c r="L255" s="112">
        <f t="shared" ref="L255:L262" ca="1" si="335">SUM(J255:K255)</f>
        <v>0</v>
      </c>
      <c r="M255" s="72">
        <f ca="1">IF(L255&gt;0,J255/L255,0)</f>
        <v>0</v>
      </c>
      <c r="Q255" s="4">
        <f t="shared" si="269"/>
        <v>45359</v>
      </c>
      <c r="R255" s="24">
        <f t="shared" si="270"/>
        <v>0</v>
      </c>
      <c r="S255" s="25">
        <f t="shared" si="271"/>
        <v>0</v>
      </c>
      <c r="T255" s="24">
        <f t="shared" si="272"/>
        <v>0</v>
      </c>
      <c r="U255" s="25">
        <f t="shared" si="273"/>
        <v>0</v>
      </c>
      <c r="V255" s="24">
        <f t="shared" si="274"/>
        <v>0</v>
      </c>
      <c r="W255" s="25">
        <f t="shared" si="275"/>
        <v>0</v>
      </c>
      <c r="X255" s="24">
        <f t="shared" si="276"/>
        <v>0</v>
      </c>
      <c r="Y255" s="26">
        <f t="shared" si="277"/>
        <v>0</v>
      </c>
      <c r="Z255" s="27">
        <f t="shared" si="278"/>
        <v>0</v>
      </c>
      <c r="AA255" s="28">
        <f t="shared" si="279"/>
        <v>45359</v>
      </c>
      <c r="AB255" s="24">
        <f t="shared" si="280"/>
        <v>0</v>
      </c>
      <c r="AC255" s="25">
        <f t="shared" si="281"/>
        <v>0</v>
      </c>
      <c r="AD255" s="28">
        <f t="shared" si="282"/>
        <v>45359</v>
      </c>
      <c r="AE255" s="24">
        <f t="shared" si="283"/>
        <v>0</v>
      </c>
      <c r="AF255" s="25">
        <f t="shared" si="284"/>
        <v>0</v>
      </c>
      <c r="AG255" s="28">
        <f t="shared" si="285"/>
        <v>45359</v>
      </c>
      <c r="AH255" s="24">
        <f t="shared" si="286"/>
        <v>0</v>
      </c>
      <c r="AI255" s="25">
        <f t="shared" si="287"/>
        <v>0</v>
      </c>
      <c r="AJ255" s="28">
        <f t="shared" si="288"/>
        <v>45359</v>
      </c>
      <c r="AK255" s="24">
        <f t="shared" si="289"/>
        <v>0</v>
      </c>
      <c r="AL255" s="25">
        <f t="shared" si="290"/>
        <v>0</v>
      </c>
      <c r="AM255" s="29">
        <f t="shared" si="291"/>
        <v>0</v>
      </c>
      <c r="AN255" s="28">
        <f t="shared" si="292"/>
        <v>45359</v>
      </c>
      <c r="AO255" s="373">
        <f t="shared" si="261"/>
        <v>0</v>
      </c>
      <c r="AP255" s="374">
        <f t="shared" si="262"/>
        <v>0</v>
      </c>
      <c r="AQ255" s="27">
        <f t="shared" si="263"/>
        <v>0</v>
      </c>
      <c r="AR255" s="25">
        <f t="shared" si="264"/>
        <v>0</v>
      </c>
      <c r="AS255" s="25">
        <f t="shared" si="265"/>
        <v>0</v>
      </c>
      <c r="AT255" s="25">
        <f t="shared" si="266"/>
        <v>0</v>
      </c>
      <c r="AU255" s="29">
        <f t="shared" si="323"/>
        <v>0</v>
      </c>
      <c r="AV255" s="27">
        <f t="shared" si="293"/>
        <v>0</v>
      </c>
      <c r="AW255" s="27">
        <f t="shared" si="294"/>
        <v>0</v>
      </c>
      <c r="AX255" s="27">
        <f t="shared" si="295"/>
        <v>0</v>
      </c>
      <c r="AY255" s="27">
        <f t="shared" si="296"/>
        <v>0</v>
      </c>
      <c r="BH255" s="2">
        <f t="shared" si="297"/>
        <v>0</v>
      </c>
      <c r="BI255" s="298" t="str">
        <f t="shared" si="298"/>
        <v/>
      </c>
      <c r="BJ255" s="298" t="str">
        <f t="shared" si="267"/>
        <v/>
      </c>
      <c r="BQ255" s="4">
        <f t="shared" si="299"/>
        <v>45359</v>
      </c>
      <c r="BR255" s="112">
        <f t="shared" si="300"/>
        <v>0</v>
      </c>
      <c r="BS255" s="112">
        <f t="shared" si="301"/>
        <v>0</v>
      </c>
      <c r="BT255" s="112">
        <f t="shared" si="302"/>
        <v>0</v>
      </c>
      <c r="BU255" s="112">
        <f t="shared" si="303"/>
        <v>0</v>
      </c>
      <c r="BV255" s="112">
        <f t="shared" si="304"/>
        <v>0</v>
      </c>
      <c r="CI255" s="4">
        <f t="shared" si="305"/>
        <v>45359</v>
      </c>
      <c r="CJ255" s="50">
        <f ca="1">IF($BH255=0,IF($CO255="",CJ254+R255,IF('283'!$K$251=1,VLOOKUP($CO255,PerStBal,2)+R255,IF('283'!$K$253=1,(VLOOKUP($CO255,PerPortion,2)*VLOOKUP($CO255,PerStBal,6))+R255,GL!BS255))),0)</f>
        <v>0</v>
      </c>
      <c r="CK255" s="425">
        <f ca="1">IF($BH255=0,IF($CO255="",CK254+T255,IF('283'!$K$251=1,IF(mname2&lt;&gt;"",VLOOKUP($CO255,PerStBal,3)+T255,0),IF('283'!$K$253=1,(VLOOKUP($CO255,PerPortion,3)*VLOOKUP($CO255,PerStBal,6))+T255,GL!BT255))),0)</f>
        <v>0</v>
      </c>
      <c r="CL255" s="425">
        <f ca="1">IF($BH255=0,IF($CO255="",CL254+V255,IF('283'!$K$251=1,IF(mname3&lt;&gt;"",VLOOKUP($CO255,PerStBal,4)+V255,0),IF('283'!$K$253=1,(VLOOKUP($CO255,PerPortion,4)*VLOOKUP($CO255,PerStBal,6))+V255,GL!BU255))),0)</f>
        <v>0</v>
      </c>
      <c r="CM255" s="425">
        <f ca="1">IF($BH255=0,IF($CO255="",CM254+X255,IF('283'!$K$251=1,IF(mname4&lt;&gt;"",VLOOKUP($CO255,PerStBal,5)+X255,0),IF('283'!$K$253=1,(VLOOKUP($CO255,PerPortion,5)*VLOOKUP($CO255,PerStBal,6))+X255,GL!BV255))),0)</f>
        <v>0</v>
      </c>
      <c r="CN255" s="50">
        <f t="shared" ca="1" si="306"/>
        <v>0</v>
      </c>
      <c r="CO255" s="4" t="str">
        <f t="shared" ca="1" si="307"/>
        <v/>
      </c>
      <c r="CP255" s="377">
        <f t="shared" si="268"/>
        <v>0</v>
      </c>
      <c r="DI255" s="4">
        <f t="shared" si="308"/>
        <v>45359</v>
      </c>
      <c r="DJ255" s="112">
        <f t="shared" ca="1" si="309"/>
        <v>0</v>
      </c>
      <c r="DK255" s="112">
        <f t="shared" si="310"/>
        <v>0</v>
      </c>
      <c r="DL255" s="4">
        <f t="shared" si="311"/>
        <v>45359</v>
      </c>
      <c r="DM255" s="112">
        <f t="shared" ca="1" si="312"/>
        <v>0</v>
      </c>
      <c r="DN255" s="112">
        <f t="shared" si="313"/>
        <v>0</v>
      </c>
      <c r="DO255" s="4">
        <f t="shared" si="314"/>
        <v>45359</v>
      </c>
      <c r="DP255" s="112">
        <f t="shared" ca="1" si="315"/>
        <v>0</v>
      </c>
      <c r="DQ255" s="112">
        <f t="shared" si="316"/>
        <v>0</v>
      </c>
      <c r="DR255" s="4">
        <f t="shared" si="317"/>
        <v>45359</v>
      </c>
      <c r="DS255" s="112">
        <f t="shared" ca="1" si="318"/>
        <v>0</v>
      </c>
      <c r="DT255" s="112">
        <f t="shared" si="319"/>
        <v>0</v>
      </c>
      <c r="DU255" s="4">
        <f t="shared" si="320"/>
        <v>45359</v>
      </c>
      <c r="DV255" s="112">
        <f t="shared" si="321"/>
        <v>0</v>
      </c>
      <c r="DW255" s="112">
        <f t="shared" si="322"/>
        <v>0</v>
      </c>
    </row>
    <row r="256" spans="3:127" x14ac:dyDescent="0.25">
      <c r="H256" s="2" t="s">
        <v>0</v>
      </c>
      <c r="I256" s="5" t="s">
        <v>131</v>
      </c>
      <c r="J256" s="112">
        <f ca="1">C111-C208-D100/365</f>
        <v>0</v>
      </c>
      <c r="K256" s="113">
        <f ca="1">I111-I209+K100/365</f>
        <v>0</v>
      </c>
      <c r="L256" s="112">
        <f t="shared" ca="1" si="335"/>
        <v>0</v>
      </c>
      <c r="M256" s="72">
        <f t="shared" ref="M256:M265" ca="1" si="336">IF(L256&gt;0,J256/L256,0)</f>
        <v>0</v>
      </c>
      <c r="Q256" s="4">
        <f t="shared" si="269"/>
        <v>45360</v>
      </c>
      <c r="R256" s="24">
        <f t="shared" si="270"/>
        <v>0</v>
      </c>
      <c r="S256" s="25">
        <f t="shared" si="271"/>
        <v>0</v>
      </c>
      <c r="T256" s="24">
        <f t="shared" si="272"/>
        <v>0</v>
      </c>
      <c r="U256" s="25">
        <f t="shared" si="273"/>
        <v>0</v>
      </c>
      <c r="V256" s="24">
        <f t="shared" si="274"/>
        <v>0</v>
      </c>
      <c r="W256" s="25">
        <f t="shared" si="275"/>
        <v>0</v>
      </c>
      <c r="X256" s="24">
        <f t="shared" si="276"/>
        <v>0</v>
      </c>
      <c r="Y256" s="26">
        <f t="shared" si="277"/>
        <v>0</v>
      </c>
      <c r="Z256" s="27">
        <f t="shared" si="278"/>
        <v>0</v>
      </c>
      <c r="AA256" s="28">
        <f t="shared" si="279"/>
        <v>45360</v>
      </c>
      <c r="AB256" s="24">
        <f t="shared" si="280"/>
        <v>0</v>
      </c>
      <c r="AC256" s="25">
        <f t="shared" si="281"/>
        <v>0</v>
      </c>
      <c r="AD256" s="28">
        <f t="shared" si="282"/>
        <v>45360</v>
      </c>
      <c r="AE256" s="24">
        <f t="shared" si="283"/>
        <v>0</v>
      </c>
      <c r="AF256" s="25">
        <f t="shared" si="284"/>
        <v>0</v>
      </c>
      <c r="AG256" s="28">
        <f t="shared" si="285"/>
        <v>45360</v>
      </c>
      <c r="AH256" s="24">
        <f t="shared" si="286"/>
        <v>0</v>
      </c>
      <c r="AI256" s="25">
        <f t="shared" si="287"/>
        <v>0</v>
      </c>
      <c r="AJ256" s="28">
        <f t="shared" si="288"/>
        <v>45360</v>
      </c>
      <c r="AK256" s="24">
        <f t="shared" si="289"/>
        <v>0</v>
      </c>
      <c r="AL256" s="25">
        <f t="shared" si="290"/>
        <v>0</v>
      </c>
      <c r="AM256" s="29">
        <f t="shared" si="291"/>
        <v>0</v>
      </c>
      <c r="AN256" s="28">
        <f t="shared" si="292"/>
        <v>45360</v>
      </c>
      <c r="AO256" s="373">
        <f t="shared" si="261"/>
        <v>0</v>
      </c>
      <c r="AP256" s="374">
        <f t="shared" si="262"/>
        <v>0</v>
      </c>
      <c r="AQ256" s="27">
        <f t="shared" si="263"/>
        <v>0</v>
      </c>
      <c r="AR256" s="25">
        <f t="shared" si="264"/>
        <v>0</v>
      </c>
      <c r="AS256" s="25">
        <f t="shared" si="265"/>
        <v>0</v>
      </c>
      <c r="AT256" s="25">
        <f t="shared" si="266"/>
        <v>0</v>
      </c>
      <c r="AU256" s="29">
        <f t="shared" si="323"/>
        <v>0</v>
      </c>
      <c r="AV256" s="27">
        <f t="shared" si="293"/>
        <v>0</v>
      </c>
      <c r="AW256" s="27">
        <f t="shared" si="294"/>
        <v>0</v>
      </c>
      <c r="AX256" s="27">
        <f t="shared" si="295"/>
        <v>0</v>
      </c>
      <c r="AY256" s="27">
        <f t="shared" si="296"/>
        <v>0</v>
      </c>
      <c r="BH256" s="2">
        <f t="shared" si="297"/>
        <v>0</v>
      </c>
      <c r="BI256" s="298" t="str">
        <f t="shared" si="298"/>
        <v/>
      </c>
      <c r="BJ256" s="298" t="str">
        <f t="shared" si="267"/>
        <v/>
      </c>
      <c r="BQ256" s="4">
        <f t="shared" si="299"/>
        <v>45360</v>
      </c>
      <c r="BR256" s="112">
        <f t="shared" si="300"/>
        <v>0</v>
      </c>
      <c r="BS256" s="112">
        <f t="shared" si="301"/>
        <v>0</v>
      </c>
      <c r="BT256" s="112">
        <f t="shared" si="302"/>
        <v>0</v>
      </c>
      <c r="BU256" s="112">
        <f t="shared" si="303"/>
        <v>0</v>
      </c>
      <c r="BV256" s="112">
        <f t="shared" si="304"/>
        <v>0</v>
      </c>
      <c r="CI256" s="4">
        <f t="shared" si="305"/>
        <v>45360</v>
      </c>
      <c r="CJ256" s="50">
        <f ca="1">IF($BH256=0,IF($CO256="",CJ255+R256,IF('283'!$K$251=1,VLOOKUP($CO256,PerStBal,2)+R256,IF('283'!$K$253=1,(VLOOKUP($CO256,PerPortion,2)*VLOOKUP($CO256,PerStBal,6))+R256,GL!BS256))),0)</f>
        <v>0</v>
      </c>
      <c r="CK256" s="425">
        <f ca="1">IF($BH256=0,IF($CO256="",CK255+T256,IF('283'!$K$251=1,IF(mname2&lt;&gt;"",VLOOKUP($CO256,PerStBal,3)+T256,0),IF('283'!$K$253=1,(VLOOKUP($CO256,PerPortion,3)*VLOOKUP($CO256,PerStBal,6))+T256,GL!BT256))),0)</f>
        <v>0</v>
      </c>
      <c r="CL256" s="425">
        <f ca="1">IF($BH256=0,IF($CO256="",CL255+V256,IF('283'!$K$251=1,IF(mname3&lt;&gt;"",VLOOKUP($CO256,PerStBal,4)+V256,0),IF('283'!$K$253=1,(VLOOKUP($CO256,PerPortion,4)*VLOOKUP($CO256,PerStBal,6))+V256,GL!BU256))),0)</f>
        <v>0</v>
      </c>
      <c r="CM256" s="425">
        <f ca="1">IF($BH256=0,IF($CO256="",CM255+X256,IF('283'!$K$251=1,IF(mname4&lt;&gt;"",VLOOKUP($CO256,PerStBal,5)+X256,0),IF('283'!$K$253=1,(VLOOKUP($CO256,PerPortion,5)*VLOOKUP($CO256,PerStBal,6))+X256,GL!BV256))),0)</f>
        <v>0</v>
      </c>
      <c r="CN256" s="50">
        <f t="shared" ca="1" si="306"/>
        <v>0</v>
      </c>
      <c r="CO256" s="4" t="str">
        <f t="shared" ca="1" si="307"/>
        <v/>
      </c>
      <c r="CP256" s="377">
        <f t="shared" si="268"/>
        <v>0</v>
      </c>
      <c r="DI256" s="4">
        <f t="shared" si="308"/>
        <v>45360</v>
      </c>
      <c r="DJ256" s="112">
        <f t="shared" ca="1" si="309"/>
        <v>0</v>
      </c>
      <c r="DK256" s="112">
        <f t="shared" si="310"/>
        <v>0</v>
      </c>
      <c r="DL256" s="4">
        <f t="shared" si="311"/>
        <v>45360</v>
      </c>
      <c r="DM256" s="112">
        <f t="shared" ca="1" si="312"/>
        <v>0</v>
      </c>
      <c r="DN256" s="112">
        <f t="shared" si="313"/>
        <v>0</v>
      </c>
      <c r="DO256" s="4">
        <f t="shared" si="314"/>
        <v>45360</v>
      </c>
      <c r="DP256" s="112">
        <f t="shared" ca="1" si="315"/>
        <v>0</v>
      </c>
      <c r="DQ256" s="112">
        <f t="shared" si="316"/>
        <v>0</v>
      </c>
      <c r="DR256" s="4">
        <f t="shared" si="317"/>
        <v>45360</v>
      </c>
      <c r="DS256" s="112">
        <f t="shared" ca="1" si="318"/>
        <v>0</v>
      </c>
      <c r="DT256" s="112">
        <f t="shared" si="319"/>
        <v>0</v>
      </c>
      <c r="DU256" s="4">
        <f t="shared" si="320"/>
        <v>45360</v>
      </c>
      <c r="DV256" s="112">
        <f t="shared" si="321"/>
        <v>0</v>
      </c>
      <c r="DW256" s="112">
        <f t="shared" si="322"/>
        <v>0</v>
      </c>
    </row>
    <row r="257" spans="8:127" x14ac:dyDescent="0.25">
      <c r="H257" s="2" t="s">
        <v>1</v>
      </c>
      <c r="I257" s="5" t="s">
        <v>130</v>
      </c>
      <c r="J257" s="112">
        <f ca="1">D111-D208-E100</f>
        <v>0</v>
      </c>
      <c r="K257" s="113">
        <f ca="1">J111-J209+L100</f>
        <v>0</v>
      </c>
      <c r="L257" s="112">
        <f t="shared" ca="1" si="335"/>
        <v>0</v>
      </c>
      <c r="M257" s="72">
        <f t="shared" ca="1" si="336"/>
        <v>0</v>
      </c>
      <c r="Q257" s="4">
        <f t="shared" si="269"/>
        <v>45361</v>
      </c>
      <c r="R257" s="24">
        <f t="shared" si="270"/>
        <v>0</v>
      </c>
      <c r="S257" s="25">
        <f t="shared" si="271"/>
        <v>0</v>
      </c>
      <c r="T257" s="24">
        <f t="shared" si="272"/>
        <v>0</v>
      </c>
      <c r="U257" s="25">
        <f t="shared" si="273"/>
        <v>0</v>
      </c>
      <c r="V257" s="24">
        <f t="shared" si="274"/>
        <v>0</v>
      </c>
      <c r="W257" s="25">
        <f t="shared" si="275"/>
        <v>0</v>
      </c>
      <c r="X257" s="24">
        <f t="shared" si="276"/>
        <v>0</v>
      </c>
      <c r="Y257" s="26">
        <f t="shared" si="277"/>
        <v>0</v>
      </c>
      <c r="Z257" s="27">
        <f t="shared" si="278"/>
        <v>0</v>
      </c>
      <c r="AA257" s="28">
        <f t="shared" si="279"/>
        <v>45361</v>
      </c>
      <c r="AB257" s="24">
        <f t="shared" si="280"/>
        <v>0</v>
      </c>
      <c r="AC257" s="25">
        <f t="shared" si="281"/>
        <v>0</v>
      </c>
      <c r="AD257" s="28">
        <f t="shared" si="282"/>
        <v>45361</v>
      </c>
      <c r="AE257" s="24">
        <f t="shared" si="283"/>
        <v>0</v>
      </c>
      <c r="AF257" s="25">
        <f t="shared" si="284"/>
        <v>0</v>
      </c>
      <c r="AG257" s="28">
        <f t="shared" si="285"/>
        <v>45361</v>
      </c>
      <c r="AH257" s="24">
        <f t="shared" si="286"/>
        <v>0</v>
      </c>
      <c r="AI257" s="25">
        <f t="shared" si="287"/>
        <v>0</v>
      </c>
      <c r="AJ257" s="28">
        <f t="shared" si="288"/>
        <v>45361</v>
      </c>
      <c r="AK257" s="24">
        <f t="shared" si="289"/>
        <v>0</v>
      </c>
      <c r="AL257" s="25">
        <f t="shared" si="290"/>
        <v>0</v>
      </c>
      <c r="AM257" s="29">
        <f t="shared" si="291"/>
        <v>0</v>
      </c>
      <c r="AN257" s="28">
        <f t="shared" si="292"/>
        <v>45361</v>
      </c>
      <c r="AO257" s="373">
        <f t="shared" si="261"/>
        <v>0</v>
      </c>
      <c r="AP257" s="374">
        <f t="shared" si="262"/>
        <v>0</v>
      </c>
      <c r="AQ257" s="27">
        <f t="shared" si="263"/>
        <v>0</v>
      </c>
      <c r="AR257" s="25">
        <f t="shared" si="264"/>
        <v>0</v>
      </c>
      <c r="AS257" s="25">
        <f t="shared" si="265"/>
        <v>0</v>
      </c>
      <c r="AT257" s="25">
        <f t="shared" si="266"/>
        <v>0</v>
      </c>
      <c r="AU257" s="29">
        <f t="shared" si="323"/>
        <v>0</v>
      </c>
      <c r="AV257" s="27">
        <f t="shared" si="293"/>
        <v>0</v>
      </c>
      <c r="AW257" s="27">
        <f t="shared" si="294"/>
        <v>0</v>
      </c>
      <c r="AX257" s="27">
        <f t="shared" si="295"/>
        <v>0</v>
      </c>
      <c r="AY257" s="27">
        <f t="shared" si="296"/>
        <v>0</v>
      </c>
      <c r="BH257" s="2">
        <f t="shared" si="297"/>
        <v>0</v>
      </c>
      <c r="BI257" s="298" t="str">
        <f t="shared" si="298"/>
        <v/>
      </c>
      <c r="BJ257" s="298" t="str">
        <f t="shared" si="267"/>
        <v/>
      </c>
      <c r="BQ257" s="4">
        <f t="shared" si="299"/>
        <v>45361</v>
      </c>
      <c r="BR257" s="112">
        <f t="shared" si="300"/>
        <v>0</v>
      </c>
      <c r="BS257" s="112">
        <f t="shared" si="301"/>
        <v>0</v>
      </c>
      <c r="BT257" s="112">
        <f t="shared" si="302"/>
        <v>0</v>
      </c>
      <c r="BU257" s="112">
        <f t="shared" si="303"/>
        <v>0</v>
      </c>
      <c r="BV257" s="112">
        <f t="shared" si="304"/>
        <v>0</v>
      </c>
      <c r="CI257" s="4">
        <f t="shared" si="305"/>
        <v>45361</v>
      </c>
      <c r="CJ257" s="50">
        <f ca="1">IF($BH257=0,IF($CO257="",CJ256+R257,IF('283'!$K$251=1,VLOOKUP($CO257,PerStBal,2)+R257,IF('283'!$K$253=1,(VLOOKUP($CO257,PerPortion,2)*VLOOKUP($CO257,PerStBal,6))+R257,GL!BS257))),0)</f>
        <v>0</v>
      </c>
      <c r="CK257" s="425">
        <f ca="1">IF($BH257=0,IF($CO257="",CK256+T257,IF('283'!$K$251=1,IF(mname2&lt;&gt;"",VLOOKUP($CO257,PerStBal,3)+T257,0),IF('283'!$K$253=1,(VLOOKUP($CO257,PerPortion,3)*VLOOKUP($CO257,PerStBal,6))+T257,GL!BT257))),0)</f>
        <v>0</v>
      </c>
      <c r="CL257" s="425">
        <f ca="1">IF($BH257=0,IF($CO257="",CL256+V257,IF('283'!$K$251=1,IF(mname3&lt;&gt;"",VLOOKUP($CO257,PerStBal,4)+V257,0),IF('283'!$K$253=1,(VLOOKUP($CO257,PerPortion,4)*VLOOKUP($CO257,PerStBal,6))+V257,GL!BU257))),0)</f>
        <v>0</v>
      </c>
      <c r="CM257" s="425">
        <f ca="1">IF($BH257=0,IF($CO257="",CM256+X257,IF('283'!$K$251=1,IF(mname4&lt;&gt;"",VLOOKUP($CO257,PerStBal,5)+X257,0),IF('283'!$K$253=1,(VLOOKUP($CO257,PerPortion,5)*VLOOKUP($CO257,PerStBal,6))+X257,GL!BV257))),0)</f>
        <v>0</v>
      </c>
      <c r="CN257" s="50">
        <f t="shared" ca="1" si="306"/>
        <v>0</v>
      </c>
      <c r="CO257" s="4" t="str">
        <f t="shared" ca="1" si="307"/>
        <v/>
      </c>
      <c r="CP257" s="377">
        <f t="shared" si="268"/>
        <v>0</v>
      </c>
      <c r="DI257" s="4">
        <f t="shared" si="308"/>
        <v>45361</v>
      </c>
      <c r="DJ257" s="112">
        <f t="shared" ca="1" si="309"/>
        <v>0</v>
      </c>
      <c r="DK257" s="112">
        <f t="shared" si="310"/>
        <v>0</v>
      </c>
      <c r="DL257" s="4">
        <f t="shared" si="311"/>
        <v>45361</v>
      </c>
      <c r="DM257" s="112">
        <f t="shared" ca="1" si="312"/>
        <v>0</v>
      </c>
      <c r="DN257" s="112">
        <f t="shared" si="313"/>
        <v>0</v>
      </c>
      <c r="DO257" s="4">
        <f t="shared" si="314"/>
        <v>45361</v>
      </c>
      <c r="DP257" s="112">
        <f t="shared" ca="1" si="315"/>
        <v>0</v>
      </c>
      <c r="DQ257" s="112">
        <f t="shared" si="316"/>
        <v>0</v>
      </c>
      <c r="DR257" s="4">
        <f t="shared" si="317"/>
        <v>45361</v>
      </c>
      <c r="DS257" s="112">
        <f t="shared" ca="1" si="318"/>
        <v>0</v>
      </c>
      <c r="DT257" s="112">
        <f t="shared" si="319"/>
        <v>0</v>
      </c>
      <c r="DU257" s="4">
        <f t="shared" si="320"/>
        <v>45361</v>
      </c>
      <c r="DV257" s="112">
        <f t="shared" si="321"/>
        <v>0</v>
      </c>
      <c r="DW257" s="112">
        <f t="shared" si="322"/>
        <v>0</v>
      </c>
    </row>
    <row r="258" spans="8:127" x14ac:dyDescent="0.25">
      <c r="H258" s="2" t="s">
        <v>1</v>
      </c>
      <c r="I258" s="5" t="s">
        <v>131</v>
      </c>
      <c r="J258" s="112">
        <f ca="1">D111-D208-E100/365</f>
        <v>0</v>
      </c>
      <c r="K258" s="113">
        <f ca="1">J111-J209+L100/365</f>
        <v>0</v>
      </c>
      <c r="L258" s="112">
        <f t="shared" ca="1" si="335"/>
        <v>0</v>
      </c>
      <c r="M258" s="72">
        <f t="shared" ca="1" si="336"/>
        <v>0</v>
      </c>
      <c r="Q258" s="4">
        <f t="shared" si="269"/>
        <v>45362</v>
      </c>
      <c r="R258" s="24">
        <f t="shared" si="270"/>
        <v>0</v>
      </c>
      <c r="S258" s="25">
        <f t="shared" si="271"/>
        <v>0</v>
      </c>
      <c r="T258" s="24">
        <f t="shared" si="272"/>
        <v>0</v>
      </c>
      <c r="U258" s="25">
        <f t="shared" si="273"/>
        <v>0</v>
      </c>
      <c r="V258" s="24">
        <f t="shared" si="274"/>
        <v>0</v>
      </c>
      <c r="W258" s="25">
        <f t="shared" si="275"/>
        <v>0</v>
      </c>
      <c r="X258" s="24">
        <f t="shared" si="276"/>
        <v>0</v>
      </c>
      <c r="Y258" s="26">
        <f t="shared" si="277"/>
        <v>0</v>
      </c>
      <c r="Z258" s="27">
        <f t="shared" si="278"/>
        <v>0</v>
      </c>
      <c r="AA258" s="28">
        <f t="shared" si="279"/>
        <v>45362</v>
      </c>
      <c r="AB258" s="24">
        <f t="shared" si="280"/>
        <v>0</v>
      </c>
      <c r="AC258" s="25">
        <f t="shared" si="281"/>
        <v>0</v>
      </c>
      <c r="AD258" s="28">
        <f t="shared" si="282"/>
        <v>45362</v>
      </c>
      <c r="AE258" s="24">
        <f t="shared" si="283"/>
        <v>0</v>
      </c>
      <c r="AF258" s="25">
        <f t="shared" si="284"/>
        <v>0</v>
      </c>
      <c r="AG258" s="28">
        <f t="shared" si="285"/>
        <v>45362</v>
      </c>
      <c r="AH258" s="24">
        <f t="shared" si="286"/>
        <v>0</v>
      </c>
      <c r="AI258" s="25">
        <f t="shared" si="287"/>
        <v>0</v>
      </c>
      <c r="AJ258" s="28">
        <f t="shared" si="288"/>
        <v>45362</v>
      </c>
      <c r="AK258" s="24">
        <f t="shared" si="289"/>
        <v>0</v>
      </c>
      <c r="AL258" s="25">
        <f t="shared" si="290"/>
        <v>0</v>
      </c>
      <c r="AM258" s="29">
        <f t="shared" si="291"/>
        <v>0</v>
      </c>
      <c r="AN258" s="28">
        <f t="shared" si="292"/>
        <v>45362</v>
      </c>
      <c r="AO258" s="373">
        <f t="shared" si="261"/>
        <v>0</v>
      </c>
      <c r="AP258" s="374">
        <f t="shared" si="262"/>
        <v>0</v>
      </c>
      <c r="AQ258" s="27">
        <f t="shared" si="263"/>
        <v>0</v>
      </c>
      <c r="AR258" s="25">
        <f t="shared" si="264"/>
        <v>0</v>
      </c>
      <c r="AS258" s="25">
        <f t="shared" si="265"/>
        <v>0</v>
      </c>
      <c r="AT258" s="25">
        <f t="shared" si="266"/>
        <v>0</v>
      </c>
      <c r="AU258" s="29">
        <f t="shared" si="323"/>
        <v>0</v>
      </c>
      <c r="AV258" s="27">
        <f t="shared" si="293"/>
        <v>0</v>
      </c>
      <c r="AW258" s="27">
        <f t="shared" si="294"/>
        <v>0</v>
      </c>
      <c r="AX258" s="27">
        <f t="shared" si="295"/>
        <v>0</v>
      </c>
      <c r="AY258" s="27">
        <f t="shared" si="296"/>
        <v>0</v>
      </c>
      <c r="BH258" s="2">
        <f t="shared" si="297"/>
        <v>0</v>
      </c>
      <c r="BI258" s="298" t="str">
        <f t="shared" si="298"/>
        <v/>
      </c>
      <c r="BJ258" s="298" t="str">
        <f t="shared" si="267"/>
        <v/>
      </c>
      <c r="BQ258" s="4">
        <f t="shared" si="299"/>
        <v>45362</v>
      </c>
      <c r="BR258" s="112">
        <f t="shared" si="300"/>
        <v>0</v>
      </c>
      <c r="BS258" s="112">
        <f t="shared" si="301"/>
        <v>0</v>
      </c>
      <c r="BT258" s="112">
        <f t="shared" si="302"/>
        <v>0</v>
      </c>
      <c r="BU258" s="112">
        <f t="shared" si="303"/>
        <v>0</v>
      </c>
      <c r="BV258" s="112">
        <f t="shared" si="304"/>
        <v>0</v>
      </c>
      <c r="CI258" s="4">
        <f t="shared" si="305"/>
        <v>45362</v>
      </c>
      <c r="CJ258" s="50">
        <f ca="1">IF($BH258=0,IF($CO258="",CJ257+R258,IF('283'!$K$251=1,VLOOKUP($CO258,PerStBal,2)+R258,IF('283'!$K$253=1,(VLOOKUP($CO258,PerPortion,2)*VLOOKUP($CO258,PerStBal,6))+R258,GL!BS258))),0)</f>
        <v>0</v>
      </c>
      <c r="CK258" s="425">
        <f ca="1">IF($BH258=0,IF($CO258="",CK257+T258,IF('283'!$K$251=1,IF(mname2&lt;&gt;"",VLOOKUP($CO258,PerStBal,3)+T258,0),IF('283'!$K$253=1,(VLOOKUP($CO258,PerPortion,3)*VLOOKUP($CO258,PerStBal,6))+T258,GL!BT258))),0)</f>
        <v>0</v>
      </c>
      <c r="CL258" s="425">
        <f ca="1">IF($BH258=0,IF($CO258="",CL257+V258,IF('283'!$K$251=1,IF(mname3&lt;&gt;"",VLOOKUP($CO258,PerStBal,4)+V258,0),IF('283'!$K$253=1,(VLOOKUP($CO258,PerPortion,4)*VLOOKUP($CO258,PerStBal,6))+V258,GL!BU258))),0)</f>
        <v>0</v>
      </c>
      <c r="CM258" s="425">
        <f ca="1">IF($BH258=0,IF($CO258="",CM257+X258,IF('283'!$K$251=1,IF(mname4&lt;&gt;"",VLOOKUP($CO258,PerStBal,5)+X258,0),IF('283'!$K$253=1,(VLOOKUP($CO258,PerPortion,5)*VLOOKUP($CO258,PerStBal,6))+X258,GL!BV258))),0)</f>
        <v>0</v>
      </c>
      <c r="CN258" s="50">
        <f t="shared" ca="1" si="306"/>
        <v>0</v>
      </c>
      <c r="CO258" s="4" t="str">
        <f t="shared" ca="1" si="307"/>
        <v/>
      </c>
      <c r="CP258" s="377">
        <f t="shared" si="268"/>
        <v>0</v>
      </c>
      <c r="DI258" s="4">
        <f t="shared" si="308"/>
        <v>45362</v>
      </c>
      <c r="DJ258" s="112">
        <f t="shared" ca="1" si="309"/>
        <v>0</v>
      </c>
      <c r="DK258" s="112">
        <f t="shared" si="310"/>
        <v>0</v>
      </c>
      <c r="DL258" s="4">
        <f t="shared" si="311"/>
        <v>45362</v>
      </c>
      <c r="DM258" s="112">
        <f t="shared" ca="1" si="312"/>
        <v>0</v>
      </c>
      <c r="DN258" s="112">
        <f t="shared" si="313"/>
        <v>0</v>
      </c>
      <c r="DO258" s="4">
        <f t="shared" si="314"/>
        <v>45362</v>
      </c>
      <c r="DP258" s="112">
        <f t="shared" ca="1" si="315"/>
        <v>0</v>
      </c>
      <c r="DQ258" s="112">
        <f t="shared" si="316"/>
        <v>0</v>
      </c>
      <c r="DR258" s="4">
        <f t="shared" si="317"/>
        <v>45362</v>
      </c>
      <c r="DS258" s="112">
        <f t="shared" ca="1" si="318"/>
        <v>0</v>
      </c>
      <c r="DT258" s="112">
        <f t="shared" si="319"/>
        <v>0</v>
      </c>
      <c r="DU258" s="4">
        <f t="shared" si="320"/>
        <v>45362</v>
      </c>
      <c r="DV258" s="112">
        <f t="shared" si="321"/>
        <v>0</v>
      </c>
      <c r="DW258" s="112">
        <f t="shared" si="322"/>
        <v>0</v>
      </c>
    </row>
    <row r="259" spans="8:127" x14ac:dyDescent="0.25">
      <c r="H259" s="2" t="s">
        <v>2</v>
      </c>
      <c r="I259" s="5" t="s">
        <v>130</v>
      </c>
      <c r="J259" s="112">
        <f ca="1">E111-E208-F100</f>
        <v>0</v>
      </c>
      <c r="K259" s="113">
        <f ca="1">K111-K209+M100</f>
        <v>0</v>
      </c>
      <c r="L259" s="112">
        <f t="shared" ca="1" si="335"/>
        <v>0</v>
      </c>
      <c r="M259" s="72">
        <f t="shared" ca="1" si="336"/>
        <v>0</v>
      </c>
      <c r="Q259" s="4">
        <f t="shared" si="269"/>
        <v>45363</v>
      </c>
      <c r="R259" s="24">
        <f t="shared" si="270"/>
        <v>0</v>
      </c>
      <c r="S259" s="25">
        <f t="shared" si="271"/>
        <v>0</v>
      </c>
      <c r="T259" s="24">
        <f t="shared" si="272"/>
        <v>0</v>
      </c>
      <c r="U259" s="25">
        <f t="shared" si="273"/>
        <v>0</v>
      </c>
      <c r="V259" s="24">
        <f t="shared" si="274"/>
        <v>0</v>
      </c>
      <c r="W259" s="25">
        <f t="shared" si="275"/>
        <v>0</v>
      </c>
      <c r="X259" s="24">
        <f t="shared" si="276"/>
        <v>0</v>
      </c>
      <c r="Y259" s="26">
        <f t="shared" si="277"/>
        <v>0</v>
      </c>
      <c r="Z259" s="27">
        <f t="shared" si="278"/>
        <v>0</v>
      </c>
      <c r="AA259" s="28">
        <f t="shared" si="279"/>
        <v>45363</v>
      </c>
      <c r="AB259" s="24">
        <f t="shared" si="280"/>
        <v>0</v>
      </c>
      <c r="AC259" s="25">
        <f t="shared" si="281"/>
        <v>0</v>
      </c>
      <c r="AD259" s="28">
        <f t="shared" si="282"/>
        <v>45363</v>
      </c>
      <c r="AE259" s="24">
        <f t="shared" si="283"/>
        <v>0</v>
      </c>
      <c r="AF259" s="25">
        <f t="shared" si="284"/>
        <v>0</v>
      </c>
      <c r="AG259" s="28">
        <f t="shared" si="285"/>
        <v>45363</v>
      </c>
      <c r="AH259" s="24">
        <f t="shared" si="286"/>
        <v>0</v>
      </c>
      <c r="AI259" s="25">
        <f t="shared" si="287"/>
        <v>0</v>
      </c>
      <c r="AJ259" s="28">
        <f t="shared" si="288"/>
        <v>45363</v>
      </c>
      <c r="AK259" s="24">
        <f t="shared" si="289"/>
        <v>0</v>
      </c>
      <c r="AL259" s="25">
        <f t="shared" si="290"/>
        <v>0</v>
      </c>
      <c r="AM259" s="29">
        <f t="shared" si="291"/>
        <v>0</v>
      </c>
      <c r="AN259" s="28">
        <f t="shared" si="292"/>
        <v>45363</v>
      </c>
      <c r="AO259" s="373">
        <f t="shared" si="261"/>
        <v>0</v>
      </c>
      <c r="AP259" s="374">
        <f t="shared" si="262"/>
        <v>0</v>
      </c>
      <c r="AQ259" s="27">
        <f t="shared" si="263"/>
        <v>0</v>
      </c>
      <c r="AR259" s="25">
        <f t="shared" si="264"/>
        <v>0</v>
      </c>
      <c r="AS259" s="25">
        <f t="shared" si="265"/>
        <v>0</v>
      </c>
      <c r="AT259" s="25">
        <f t="shared" si="266"/>
        <v>0</v>
      </c>
      <c r="AU259" s="29">
        <f t="shared" si="323"/>
        <v>0</v>
      </c>
      <c r="AV259" s="27">
        <f t="shared" si="293"/>
        <v>0</v>
      </c>
      <c r="AW259" s="27">
        <f t="shared" si="294"/>
        <v>0</v>
      </c>
      <c r="AX259" s="27">
        <f t="shared" si="295"/>
        <v>0</v>
      </c>
      <c r="AY259" s="27">
        <f t="shared" si="296"/>
        <v>0</v>
      </c>
      <c r="BH259" s="2">
        <f t="shared" si="297"/>
        <v>0</v>
      </c>
      <c r="BI259" s="298" t="str">
        <f t="shared" si="298"/>
        <v/>
      </c>
      <c r="BJ259" s="298" t="str">
        <f t="shared" si="267"/>
        <v/>
      </c>
      <c r="BQ259" s="4">
        <f t="shared" si="299"/>
        <v>45363</v>
      </c>
      <c r="BR259" s="112">
        <f t="shared" si="300"/>
        <v>0</v>
      </c>
      <c r="BS259" s="112">
        <f t="shared" si="301"/>
        <v>0</v>
      </c>
      <c r="BT259" s="112">
        <f t="shared" si="302"/>
        <v>0</v>
      </c>
      <c r="BU259" s="112">
        <f t="shared" si="303"/>
        <v>0</v>
      </c>
      <c r="BV259" s="112">
        <f t="shared" si="304"/>
        <v>0</v>
      </c>
      <c r="CI259" s="4">
        <f t="shared" si="305"/>
        <v>45363</v>
      </c>
      <c r="CJ259" s="50">
        <f ca="1">IF($BH259=0,IF($CO259="",CJ258+R259,IF('283'!$K$251=1,VLOOKUP($CO259,PerStBal,2)+R259,IF('283'!$K$253=1,(VLOOKUP($CO259,PerPortion,2)*VLOOKUP($CO259,PerStBal,6))+R259,GL!BS259))),0)</f>
        <v>0</v>
      </c>
      <c r="CK259" s="425">
        <f ca="1">IF($BH259=0,IF($CO259="",CK258+T259,IF('283'!$K$251=1,IF(mname2&lt;&gt;"",VLOOKUP($CO259,PerStBal,3)+T259,0),IF('283'!$K$253=1,(VLOOKUP($CO259,PerPortion,3)*VLOOKUP($CO259,PerStBal,6))+T259,GL!BT259))),0)</f>
        <v>0</v>
      </c>
      <c r="CL259" s="425">
        <f ca="1">IF($BH259=0,IF($CO259="",CL258+V259,IF('283'!$K$251=1,IF(mname3&lt;&gt;"",VLOOKUP($CO259,PerStBal,4)+V259,0),IF('283'!$K$253=1,(VLOOKUP($CO259,PerPortion,4)*VLOOKUP($CO259,PerStBal,6))+V259,GL!BU259))),0)</f>
        <v>0</v>
      </c>
      <c r="CM259" s="425">
        <f ca="1">IF($BH259=0,IF($CO259="",CM258+X259,IF('283'!$K$251=1,IF(mname4&lt;&gt;"",VLOOKUP($CO259,PerStBal,5)+X259,0),IF('283'!$K$253=1,(VLOOKUP($CO259,PerPortion,5)*VLOOKUP($CO259,PerStBal,6))+X259,GL!BV259))),0)</f>
        <v>0</v>
      </c>
      <c r="CN259" s="50">
        <f t="shared" ca="1" si="306"/>
        <v>0</v>
      </c>
      <c r="CO259" s="4" t="str">
        <f t="shared" ca="1" si="307"/>
        <v/>
      </c>
      <c r="CP259" s="377">
        <f t="shared" si="268"/>
        <v>0</v>
      </c>
      <c r="DI259" s="4">
        <f t="shared" si="308"/>
        <v>45363</v>
      </c>
      <c r="DJ259" s="112">
        <f t="shared" ca="1" si="309"/>
        <v>0</v>
      </c>
      <c r="DK259" s="112">
        <f t="shared" si="310"/>
        <v>0</v>
      </c>
      <c r="DL259" s="4">
        <f t="shared" si="311"/>
        <v>45363</v>
      </c>
      <c r="DM259" s="112">
        <f t="shared" ca="1" si="312"/>
        <v>0</v>
      </c>
      <c r="DN259" s="112">
        <f t="shared" si="313"/>
        <v>0</v>
      </c>
      <c r="DO259" s="4">
        <f t="shared" si="314"/>
        <v>45363</v>
      </c>
      <c r="DP259" s="112">
        <f t="shared" ca="1" si="315"/>
        <v>0</v>
      </c>
      <c r="DQ259" s="112">
        <f t="shared" si="316"/>
        <v>0</v>
      </c>
      <c r="DR259" s="4">
        <f t="shared" si="317"/>
        <v>45363</v>
      </c>
      <c r="DS259" s="112">
        <f t="shared" ca="1" si="318"/>
        <v>0</v>
      </c>
      <c r="DT259" s="112">
        <f t="shared" si="319"/>
        <v>0</v>
      </c>
      <c r="DU259" s="4">
        <f t="shared" si="320"/>
        <v>45363</v>
      </c>
      <c r="DV259" s="112">
        <f t="shared" si="321"/>
        <v>0</v>
      </c>
      <c r="DW259" s="112">
        <f t="shared" si="322"/>
        <v>0</v>
      </c>
    </row>
    <row r="260" spans="8:127" x14ac:dyDescent="0.25">
      <c r="H260" s="2" t="s">
        <v>2</v>
      </c>
      <c r="I260" s="5" t="s">
        <v>131</v>
      </c>
      <c r="J260" s="112">
        <f ca="1">E111-E208-F100/365</f>
        <v>0</v>
      </c>
      <c r="K260" s="113">
        <f ca="1">K111-K209+M100/365</f>
        <v>0</v>
      </c>
      <c r="L260" s="112">
        <f t="shared" ca="1" si="335"/>
        <v>0</v>
      </c>
      <c r="M260" s="72">
        <f t="shared" ca="1" si="336"/>
        <v>0</v>
      </c>
      <c r="Q260" s="4">
        <f t="shared" si="269"/>
        <v>45364</v>
      </c>
      <c r="R260" s="24">
        <f t="shared" si="270"/>
        <v>0</v>
      </c>
      <c r="S260" s="25">
        <f t="shared" si="271"/>
        <v>0</v>
      </c>
      <c r="T260" s="24">
        <f t="shared" si="272"/>
        <v>0</v>
      </c>
      <c r="U260" s="25">
        <f t="shared" si="273"/>
        <v>0</v>
      </c>
      <c r="V260" s="24">
        <f t="shared" si="274"/>
        <v>0</v>
      </c>
      <c r="W260" s="25">
        <f t="shared" si="275"/>
        <v>0</v>
      </c>
      <c r="X260" s="24">
        <f t="shared" si="276"/>
        <v>0</v>
      </c>
      <c r="Y260" s="26">
        <f t="shared" si="277"/>
        <v>0</v>
      </c>
      <c r="Z260" s="27">
        <f t="shared" si="278"/>
        <v>0</v>
      </c>
      <c r="AA260" s="28">
        <f t="shared" si="279"/>
        <v>45364</v>
      </c>
      <c r="AB260" s="24">
        <f t="shared" si="280"/>
        <v>0</v>
      </c>
      <c r="AC260" s="25">
        <f t="shared" si="281"/>
        <v>0</v>
      </c>
      <c r="AD260" s="28">
        <f t="shared" si="282"/>
        <v>45364</v>
      </c>
      <c r="AE260" s="24">
        <f t="shared" si="283"/>
        <v>0</v>
      </c>
      <c r="AF260" s="25">
        <f t="shared" si="284"/>
        <v>0</v>
      </c>
      <c r="AG260" s="28">
        <f t="shared" si="285"/>
        <v>45364</v>
      </c>
      <c r="AH260" s="24">
        <f t="shared" si="286"/>
        <v>0</v>
      </c>
      <c r="AI260" s="25">
        <f t="shared" si="287"/>
        <v>0</v>
      </c>
      <c r="AJ260" s="28">
        <f t="shared" si="288"/>
        <v>45364</v>
      </c>
      <c r="AK260" s="24">
        <f t="shared" si="289"/>
        <v>0</v>
      </c>
      <c r="AL260" s="25">
        <f t="shared" si="290"/>
        <v>0</v>
      </c>
      <c r="AM260" s="29">
        <f t="shared" si="291"/>
        <v>0</v>
      </c>
      <c r="AN260" s="28">
        <f t="shared" si="292"/>
        <v>45364</v>
      </c>
      <c r="AO260" s="373">
        <f t="shared" ref="AO260:AO323" si="337">IF(AND(UseSeg="Yes",AP260=0),0,SUM(AB260,AE260,AH260,AK260))</f>
        <v>0</v>
      </c>
      <c r="AP260" s="374">
        <f t="shared" ref="AP260:AP323" si="338">SUM(AC260,AF260,AI260,AL260:AM260)</f>
        <v>0</v>
      </c>
      <c r="AQ260" s="27">
        <f t="shared" ref="AQ260:AQ323" si="339">AB260+AC260</f>
        <v>0</v>
      </c>
      <c r="AR260" s="25">
        <f t="shared" ref="AR260:AR323" si="340">AE260+AF260</f>
        <v>0</v>
      </c>
      <c r="AS260" s="25">
        <f t="shared" ref="AS260:AS323" si="341">AH260+AI260</f>
        <v>0</v>
      </c>
      <c r="AT260" s="25">
        <f t="shared" ref="AT260:AT323" si="342">AK260+AL260</f>
        <v>0</v>
      </c>
      <c r="AU260" s="29">
        <f t="shared" si="323"/>
        <v>0</v>
      </c>
      <c r="AV260" s="27">
        <f t="shared" si="293"/>
        <v>0</v>
      </c>
      <c r="AW260" s="27">
        <f t="shared" si="294"/>
        <v>0</v>
      </c>
      <c r="AX260" s="27">
        <f t="shared" si="295"/>
        <v>0</v>
      </c>
      <c r="AY260" s="27">
        <f t="shared" si="296"/>
        <v>0</v>
      </c>
      <c r="BH260" s="2">
        <f t="shared" si="297"/>
        <v>0</v>
      </c>
      <c r="BI260" s="298" t="str">
        <f t="shared" si="298"/>
        <v/>
      </c>
      <c r="BJ260" s="298" t="str">
        <f t="shared" ref="BJ260:BJ323" si="343">IF(UseSeg="Yes",IF(AND(BH260=1,ROUND(AP261,1)&gt;0),AN260,""),"")</f>
        <v/>
      </c>
      <c r="BQ260" s="4">
        <f t="shared" si="299"/>
        <v>45364</v>
      </c>
      <c r="BR260" s="112">
        <f t="shared" si="300"/>
        <v>0</v>
      </c>
      <c r="BS260" s="112">
        <f t="shared" si="301"/>
        <v>0</v>
      </c>
      <c r="BT260" s="112">
        <f t="shared" si="302"/>
        <v>0</v>
      </c>
      <c r="BU260" s="112">
        <f t="shared" si="303"/>
        <v>0</v>
      </c>
      <c r="BV260" s="112">
        <f t="shared" si="304"/>
        <v>0</v>
      </c>
      <c r="CI260" s="4">
        <f t="shared" si="305"/>
        <v>45364</v>
      </c>
      <c r="CJ260" s="50">
        <f ca="1">IF($BH260=0,IF($CO260="",CJ259+R260,IF('283'!$K$251=1,VLOOKUP($CO260,PerStBal,2)+R260,IF('283'!$K$253=1,(VLOOKUP($CO260,PerPortion,2)*VLOOKUP($CO260,PerStBal,6))+R260,GL!BS260))),0)</f>
        <v>0</v>
      </c>
      <c r="CK260" s="425">
        <f ca="1">IF($BH260=0,IF($CO260="",CK259+T260,IF('283'!$K$251=1,IF(mname2&lt;&gt;"",VLOOKUP($CO260,PerStBal,3)+T260,0),IF('283'!$K$253=1,(VLOOKUP($CO260,PerPortion,3)*VLOOKUP($CO260,PerStBal,6))+T260,GL!BT260))),0)</f>
        <v>0</v>
      </c>
      <c r="CL260" s="425">
        <f ca="1">IF($BH260=0,IF($CO260="",CL259+V260,IF('283'!$K$251=1,IF(mname3&lt;&gt;"",VLOOKUP($CO260,PerStBal,4)+V260,0),IF('283'!$K$253=1,(VLOOKUP($CO260,PerPortion,4)*VLOOKUP($CO260,PerStBal,6))+V260,GL!BU260))),0)</f>
        <v>0</v>
      </c>
      <c r="CM260" s="425">
        <f ca="1">IF($BH260=0,IF($CO260="",CM259+X260,IF('283'!$K$251=1,IF(mname4&lt;&gt;"",VLOOKUP($CO260,PerStBal,5)+X260,0),IF('283'!$K$253=1,(VLOOKUP($CO260,PerPortion,5)*VLOOKUP($CO260,PerStBal,6))+X260,GL!BV260))),0)</f>
        <v>0</v>
      </c>
      <c r="CN260" s="50">
        <f t="shared" ca="1" si="306"/>
        <v>0</v>
      </c>
      <c r="CO260" s="4" t="str">
        <f t="shared" ca="1" si="307"/>
        <v/>
      </c>
      <c r="CP260" s="377">
        <f t="shared" ref="CP260:CP323" si="344">IF(AND(UseSeg="Yes",AP260=0),0,SUM(CJ260:CM260))</f>
        <v>0</v>
      </c>
      <c r="DI260" s="4">
        <f t="shared" si="308"/>
        <v>45364</v>
      </c>
      <c r="DJ260" s="112">
        <f t="shared" ca="1" si="309"/>
        <v>0</v>
      </c>
      <c r="DK260" s="112">
        <f t="shared" si="310"/>
        <v>0</v>
      </c>
      <c r="DL260" s="4">
        <f t="shared" si="311"/>
        <v>45364</v>
      </c>
      <c r="DM260" s="112">
        <f t="shared" ca="1" si="312"/>
        <v>0</v>
      </c>
      <c r="DN260" s="112">
        <f t="shared" si="313"/>
        <v>0</v>
      </c>
      <c r="DO260" s="4">
        <f t="shared" si="314"/>
        <v>45364</v>
      </c>
      <c r="DP260" s="112">
        <f t="shared" ca="1" si="315"/>
        <v>0</v>
      </c>
      <c r="DQ260" s="112">
        <f t="shared" si="316"/>
        <v>0</v>
      </c>
      <c r="DR260" s="4">
        <f t="shared" si="317"/>
        <v>45364</v>
      </c>
      <c r="DS260" s="112">
        <f t="shared" ca="1" si="318"/>
        <v>0</v>
      </c>
      <c r="DT260" s="112">
        <f t="shared" si="319"/>
        <v>0</v>
      </c>
      <c r="DU260" s="4">
        <f t="shared" si="320"/>
        <v>45364</v>
      </c>
      <c r="DV260" s="112">
        <f t="shared" si="321"/>
        <v>0</v>
      </c>
      <c r="DW260" s="112">
        <f t="shared" si="322"/>
        <v>0</v>
      </c>
    </row>
    <row r="261" spans="8:127" x14ac:dyDescent="0.25">
      <c r="H261" s="2" t="s">
        <v>3</v>
      </c>
      <c r="I261" s="5" t="s">
        <v>130</v>
      </c>
      <c r="J261" s="112">
        <f ca="1">F111-F208-G100</f>
        <v>0</v>
      </c>
      <c r="K261" s="113">
        <f ca="1">L111-L209+N100</f>
        <v>0</v>
      </c>
      <c r="L261" s="112">
        <f t="shared" ca="1" si="335"/>
        <v>0</v>
      </c>
      <c r="M261" s="72">
        <f t="shared" ca="1" si="336"/>
        <v>0</v>
      </c>
      <c r="Q261" s="4">
        <f t="shared" ref="Q261:Q324" si="345">Q260+1</f>
        <v>45365</v>
      </c>
      <c r="R261" s="24">
        <f t="shared" ref="R261:R324" si="346">SUMIF($C$85:$C$98,Q261,$D$85:$D$98)-SUMIF($C$5:$C$84,Q261,$D$5:$D$84)-IF(AND($Q261&gt;=$D$101,$Q261&lt;$D$104,$D$100&lt;&gt;0),$D$100/($D$104-$D$101),0)</f>
        <v>0</v>
      </c>
      <c r="S261" s="25">
        <f t="shared" ref="S261:S324" si="347">SUMIF($J$5:$J$99,Q261,$K$5:$K$99)+IF(AND($Q261&gt;=$K$105,$Q261&lt;$K$102,$K$100&lt;&gt;0),$K$100/($K$102-$K$105),0)</f>
        <v>0</v>
      </c>
      <c r="T261" s="24">
        <f t="shared" ref="T261:T324" si="348">SUMIF($C$85:$C$98,Q261,$E$85:$E$98)-SUMIF($C$5:$C$84,Q261,$E$5:$E$84)-IF(AND($Q261&gt;=$E$101,$Q261&lt;$E$104,$E$100&lt;&gt;0),$E$100/($E$104-$E$101),0)</f>
        <v>0</v>
      </c>
      <c r="U261" s="25">
        <f t="shared" ref="U261:U324" si="349">SUMIF($J$5:$J$99,Q261,$L$5:$L$99)+IF(AND($Q261&gt;=$L$105,$Q261&lt;$L$102,$L$100&lt;&gt;0),$L$100/($L$102-$L$105),0)</f>
        <v>0</v>
      </c>
      <c r="V261" s="24">
        <f t="shared" ref="V261:V324" si="350">SUMIF($C$85:$C$98,$Q261,$F$85:$F$98)-SUMIF($C$5:$C$84,$Q261,$F$5:$F$84)-IF(AND($Q261&gt;=$F$101,$Q261&lt;$F$104,$F$100&lt;&gt;0),$F$100/($F$104-$F$101),0)</f>
        <v>0</v>
      </c>
      <c r="W261" s="25">
        <f t="shared" ref="W261:W324" si="351">SUMIF($J$5:$J$99,Q261,$M$5:$M$99)+IF(AND($Q261&gt;=$M$105,$Q261&lt;$M$102,$M$100&lt;&gt;0),$M$100/($M$102-$M$105),0)</f>
        <v>0</v>
      </c>
      <c r="X261" s="24">
        <f t="shared" ref="X261:X324" si="352">SUMIF($C$85:$C$98,$Q261,$G$85:$G$98)-SUMIF($C$5:$C$84,$Q261,$G$5:$G$84)-IF(AND($Q261&gt;=$G$101,$Q261&lt;$G$104,$G$100&lt;&gt;0),$G$100/($G$104-$G$101),0)</f>
        <v>0</v>
      </c>
      <c r="Y261" s="26">
        <f t="shared" ref="Y261:Y324" si="353">SUMIF($J$5:$J$99,Q261,$N$5:$N$99)+IF(AND($Q261&gt;=$N$105,$Q261&lt;$N$102,$N$100&lt;&gt;0),$N$100/($N$102-$N$105),0)</f>
        <v>0</v>
      </c>
      <c r="Z261" s="27">
        <f t="shared" ref="Z261:Z324" si="354">SUMIF($J$5:$J$99,$Q261,$O$5:$O$99)</f>
        <v>0</v>
      </c>
      <c r="AA261" s="28">
        <f t="shared" ref="AA261:AA324" si="355">Q261</f>
        <v>45365</v>
      </c>
      <c r="AB261" s="24">
        <f t="shared" ref="AB261:AB324" si="356">AB260+R261</f>
        <v>0</v>
      </c>
      <c r="AC261" s="25">
        <f t="shared" ref="AC261:AC324" si="357">AC260+S261</f>
        <v>0</v>
      </c>
      <c r="AD261" s="28">
        <f t="shared" ref="AD261:AD324" si="358">AA261</f>
        <v>45365</v>
      </c>
      <c r="AE261" s="24">
        <f t="shared" ref="AE261:AE324" si="359">AE260+T261</f>
        <v>0</v>
      </c>
      <c r="AF261" s="25">
        <f t="shared" ref="AF261:AF324" si="360">AF260+U261</f>
        <v>0</v>
      </c>
      <c r="AG261" s="28">
        <f t="shared" ref="AG261:AG324" si="361">AD261</f>
        <v>45365</v>
      </c>
      <c r="AH261" s="24">
        <f t="shared" ref="AH261:AH324" si="362">AH260+V261</f>
        <v>0</v>
      </c>
      <c r="AI261" s="25">
        <f t="shared" ref="AI261:AI324" si="363">AI260+W261</f>
        <v>0</v>
      </c>
      <c r="AJ261" s="28">
        <f t="shared" ref="AJ261:AJ324" si="364">AG261</f>
        <v>45365</v>
      </c>
      <c r="AK261" s="24">
        <f t="shared" ref="AK261:AK324" si="365">AK260+X261</f>
        <v>0</v>
      </c>
      <c r="AL261" s="25">
        <f t="shared" ref="AL261:AL324" si="366">AL260+Y261</f>
        <v>0</v>
      </c>
      <c r="AM261" s="29">
        <f t="shared" ref="AM261:AM324" si="367">AM260+Z261</f>
        <v>0</v>
      </c>
      <c r="AN261" s="28">
        <f t="shared" ref="AN261:AN324" si="368">AA261</f>
        <v>45365</v>
      </c>
      <c r="AO261" s="373">
        <f t="shared" si="337"/>
        <v>0</v>
      </c>
      <c r="AP261" s="374">
        <f t="shared" si="338"/>
        <v>0</v>
      </c>
      <c r="AQ261" s="27">
        <f t="shared" si="339"/>
        <v>0</v>
      </c>
      <c r="AR261" s="25">
        <f t="shared" si="340"/>
        <v>0</v>
      </c>
      <c r="AS261" s="25">
        <f t="shared" si="341"/>
        <v>0</v>
      </c>
      <c r="AT261" s="25">
        <f t="shared" si="342"/>
        <v>0</v>
      </c>
      <c r="AU261" s="29">
        <f t="shared" si="323"/>
        <v>0</v>
      </c>
      <c r="AV261" s="27">
        <f t="shared" ref="AV261:AV324" si="369">IF(VALUE(AC261)&gt;0,AB261,0)</f>
        <v>0</v>
      </c>
      <c r="AW261" s="27">
        <f t="shared" ref="AW261:AW324" si="370">IF(VALUE(AF261)&gt;0,AE261,0)</f>
        <v>0</v>
      </c>
      <c r="AX261" s="27">
        <f t="shared" ref="AX261:AX324" si="371">IF(VALUE(AI261)&gt;0,AH261,0)</f>
        <v>0</v>
      </c>
      <c r="AY261" s="27">
        <f t="shared" ref="AY261:AY324" si="372">IF(VALUE(AL261)&gt;0,AK261,0)</f>
        <v>0</v>
      </c>
      <c r="BH261" s="2">
        <f t="shared" ref="BH261:BH324" si="373">IF(AND(BH260=0,BI261&lt;&gt;""),1,IF(AND(BH260=1,BJ260=""),1,0))</f>
        <v>0</v>
      </c>
      <c r="BI261" s="298" t="str">
        <f t="shared" ref="BI261:BI324" si="374">IF(UseSeg="Yes",IF(AND(ROUND(AP260,1)&gt;0,ROUND(AP261,1)&lt;1),AN261,""),"")</f>
        <v/>
      </c>
      <c r="BJ261" s="298" t="str">
        <f t="shared" si="343"/>
        <v/>
      </c>
      <c r="BQ261" s="4">
        <f t="shared" ref="BQ261:BQ324" si="375">AN261</f>
        <v>45365</v>
      </c>
      <c r="BR261" s="112">
        <f t="shared" ref="BR261:BR324" si="376">SUM(AB261,AE261,AH261,AK261)</f>
        <v>0</v>
      </c>
      <c r="BS261" s="112">
        <f t="shared" ref="BS261:BS324" si="377">AB261</f>
        <v>0</v>
      </c>
      <c r="BT261" s="112">
        <f t="shared" ref="BT261:BT324" si="378">AE261</f>
        <v>0</v>
      </c>
      <c r="BU261" s="112">
        <f t="shared" ref="BU261:BU324" si="379">AH261</f>
        <v>0</v>
      </c>
      <c r="BV261" s="112">
        <f t="shared" ref="BV261:BV324" si="380">AK261</f>
        <v>0</v>
      </c>
      <c r="CI261" s="4">
        <f t="shared" ref="CI261:CI324" si="381">BQ261</f>
        <v>45365</v>
      </c>
      <c r="CJ261" s="50">
        <f ca="1">IF($BH261=0,IF($CO261="",CJ260+R261,IF('283'!$K$251=1,VLOOKUP($CO261,PerStBal,2)+R261,IF('283'!$K$253=1,(VLOOKUP($CO261,PerPortion,2)*VLOOKUP($CO261,PerStBal,6))+R261,GL!BS261))),0)</f>
        <v>0</v>
      </c>
      <c r="CK261" s="425">
        <f ca="1">IF($BH261=0,IF($CO261="",CK260+T261,IF('283'!$K$251=1,IF(mname2&lt;&gt;"",VLOOKUP($CO261,PerStBal,3)+T261,0),IF('283'!$K$253=1,(VLOOKUP($CO261,PerPortion,3)*VLOOKUP($CO261,PerStBal,6))+T261,GL!BT261))),0)</f>
        <v>0</v>
      </c>
      <c r="CL261" s="425">
        <f ca="1">IF($BH261=0,IF($CO261="",CL260+V261,IF('283'!$K$251=1,IF(mname3&lt;&gt;"",VLOOKUP($CO261,PerStBal,4)+V261,0),IF('283'!$K$253=1,(VLOOKUP($CO261,PerPortion,4)*VLOOKUP($CO261,PerStBal,6))+V261,GL!BU261))),0)</f>
        <v>0</v>
      </c>
      <c r="CM261" s="425">
        <f ca="1">IF($BH261=0,IF($CO261="",CM260+X261,IF('283'!$K$251=1,IF(mname4&lt;&gt;"",VLOOKUP($CO261,PerStBal,5)+X261,0),IF('283'!$K$253=1,(VLOOKUP($CO261,PerPortion,5)*VLOOKUP($CO261,PerStBal,6))+X261,GL!BV261))),0)</f>
        <v>0</v>
      </c>
      <c r="CN261" s="50">
        <f t="shared" ref="CN261:CN324" ca="1" si="382">IFERROR(VLOOKUP(CO261,PerStBal,6),0)</f>
        <v>0</v>
      </c>
      <c r="CO261" s="4" t="str">
        <f t="shared" ref="CO261:CO324" ca="1" si="383">IFERROR(VLOOKUP(CI261,PerStBal,1,FALSE),"")</f>
        <v/>
      </c>
      <c r="CP261" s="377">
        <f t="shared" si="344"/>
        <v>0</v>
      </c>
      <c r="DI261" s="4">
        <f t="shared" ref="DI261:DI324" si="384">CI261</f>
        <v>45365</v>
      </c>
      <c r="DJ261" s="112">
        <f t="shared" ref="DJ261:DJ324" ca="1" si="385">CJ261</f>
        <v>0</v>
      </c>
      <c r="DK261" s="112">
        <f t="shared" ref="DK261:DK324" si="386">AC261</f>
        <v>0</v>
      </c>
      <c r="DL261" s="4">
        <f t="shared" ref="DL261:DL324" si="387">DI261</f>
        <v>45365</v>
      </c>
      <c r="DM261" s="112">
        <f t="shared" ref="DM261:DM324" ca="1" si="388">CK261</f>
        <v>0</v>
      </c>
      <c r="DN261" s="112">
        <f t="shared" ref="DN261:DN324" si="389">AF261</f>
        <v>0</v>
      </c>
      <c r="DO261" s="4">
        <f t="shared" ref="DO261:DO324" si="390">DL261</f>
        <v>45365</v>
      </c>
      <c r="DP261" s="112">
        <f t="shared" ref="DP261:DP324" ca="1" si="391">CL261</f>
        <v>0</v>
      </c>
      <c r="DQ261" s="112">
        <f t="shared" ref="DQ261:DQ324" si="392">AI261</f>
        <v>0</v>
      </c>
      <c r="DR261" s="4">
        <f t="shared" ref="DR261:DR324" si="393">DO261</f>
        <v>45365</v>
      </c>
      <c r="DS261" s="112">
        <f t="shared" ref="DS261:DS324" ca="1" si="394">CM261</f>
        <v>0</v>
      </c>
      <c r="DT261" s="112">
        <f t="shared" ref="DT261:DT324" si="395">AL261</f>
        <v>0</v>
      </c>
      <c r="DU261" s="4">
        <f t="shared" ref="DU261:DU324" si="396">DR261</f>
        <v>45365</v>
      </c>
      <c r="DV261" s="112">
        <f t="shared" ref="DV261:DV324" si="397">CP261</f>
        <v>0</v>
      </c>
      <c r="DW261" s="112">
        <f t="shared" ref="DW261:DW324" si="398">AP261</f>
        <v>0</v>
      </c>
    </row>
    <row r="262" spans="8:127" x14ac:dyDescent="0.25">
      <c r="H262" s="2" t="s">
        <v>3</v>
      </c>
      <c r="I262" s="5" t="s">
        <v>131</v>
      </c>
      <c r="J262" s="112">
        <f ca="1">F111-F208-G100/365</f>
        <v>0</v>
      </c>
      <c r="K262" s="113">
        <f ca="1">L111-L209+N100/365</f>
        <v>0</v>
      </c>
      <c r="L262" s="112">
        <f t="shared" ca="1" si="335"/>
        <v>0</v>
      </c>
      <c r="M262" s="72">
        <f t="shared" ca="1" si="336"/>
        <v>0</v>
      </c>
      <c r="Q262" s="4">
        <f t="shared" si="345"/>
        <v>45366</v>
      </c>
      <c r="R262" s="24">
        <f t="shared" si="346"/>
        <v>0</v>
      </c>
      <c r="S262" s="25">
        <f t="shared" si="347"/>
        <v>0</v>
      </c>
      <c r="T262" s="24">
        <f t="shared" si="348"/>
        <v>0</v>
      </c>
      <c r="U262" s="25">
        <f t="shared" si="349"/>
        <v>0</v>
      </c>
      <c r="V262" s="24">
        <f t="shared" si="350"/>
        <v>0</v>
      </c>
      <c r="W262" s="25">
        <f t="shared" si="351"/>
        <v>0</v>
      </c>
      <c r="X262" s="24">
        <f t="shared" si="352"/>
        <v>0</v>
      </c>
      <c r="Y262" s="26">
        <f t="shared" si="353"/>
        <v>0</v>
      </c>
      <c r="Z262" s="27">
        <f t="shared" si="354"/>
        <v>0</v>
      </c>
      <c r="AA262" s="28">
        <f t="shared" si="355"/>
        <v>45366</v>
      </c>
      <c r="AB262" s="24">
        <f t="shared" si="356"/>
        <v>0</v>
      </c>
      <c r="AC262" s="25">
        <f t="shared" si="357"/>
        <v>0</v>
      </c>
      <c r="AD262" s="28">
        <f t="shared" si="358"/>
        <v>45366</v>
      </c>
      <c r="AE262" s="24">
        <f t="shared" si="359"/>
        <v>0</v>
      </c>
      <c r="AF262" s="25">
        <f t="shared" si="360"/>
        <v>0</v>
      </c>
      <c r="AG262" s="28">
        <f t="shared" si="361"/>
        <v>45366</v>
      </c>
      <c r="AH262" s="24">
        <f t="shared" si="362"/>
        <v>0</v>
      </c>
      <c r="AI262" s="25">
        <f t="shared" si="363"/>
        <v>0</v>
      </c>
      <c r="AJ262" s="28">
        <f t="shared" si="364"/>
        <v>45366</v>
      </c>
      <c r="AK262" s="24">
        <f t="shared" si="365"/>
        <v>0</v>
      </c>
      <c r="AL262" s="25">
        <f t="shared" si="366"/>
        <v>0</v>
      </c>
      <c r="AM262" s="29">
        <f t="shared" si="367"/>
        <v>0</v>
      </c>
      <c r="AN262" s="28">
        <f t="shared" si="368"/>
        <v>45366</v>
      </c>
      <c r="AO262" s="373">
        <f t="shared" si="337"/>
        <v>0</v>
      </c>
      <c r="AP262" s="374">
        <f t="shared" si="338"/>
        <v>0</v>
      </c>
      <c r="AQ262" s="27">
        <f t="shared" si="339"/>
        <v>0</v>
      </c>
      <c r="AR262" s="25">
        <f t="shared" si="340"/>
        <v>0</v>
      </c>
      <c r="AS262" s="25">
        <f t="shared" si="341"/>
        <v>0</v>
      </c>
      <c r="AT262" s="25">
        <f t="shared" si="342"/>
        <v>0</v>
      </c>
      <c r="AU262" s="29">
        <f t="shared" ref="AU262:AU325" si="399">AM262</f>
        <v>0</v>
      </c>
      <c r="AV262" s="27">
        <f t="shared" si="369"/>
        <v>0</v>
      </c>
      <c r="AW262" s="27">
        <f t="shared" si="370"/>
        <v>0</v>
      </c>
      <c r="AX262" s="27">
        <f t="shared" si="371"/>
        <v>0</v>
      </c>
      <c r="AY262" s="27">
        <f t="shared" si="372"/>
        <v>0</v>
      </c>
      <c r="BH262" s="2">
        <f t="shared" si="373"/>
        <v>0</v>
      </c>
      <c r="BI262" s="298" t="str">
        <f t="shared" si="374"/>
        <v/>
      </c>
      <c r="BJ262" s="298" t="str">
        <f t="shared" si="343"/>
        <v/>
      </c>
      <c r="BQ262" s="4">
        <f t="shared" si="375"/>
        <v>45366</v>
      </c>
      <c r="BR262" s="112">
        <f t="shared" si="376"/>
        <v>0</v>
      </c>
      <c r="BS262" s="112">
        <f t="shared" si="377"/>
        <v>0</v>
      </c>
      <c r="BT262" s="112">
        <f t="shared" si="378"/>
        <v>0</v>
      </c>
      <c r="BU262" s="112">
        <f t="shared" si="379"/>
        <v>0</v>
      </c>
      <c r="BV262" s="112">
        <f t="shared" si="380"/>
        <v>0</v>
      </c>
      <c r="CI262" s="4">
        <f t="shared" si="381"/>
        <v>45366</v>
      </c>
      <c r="CJ262" s="50">
        <f ca="1">IF($BH262=0,IF($CO262="",CJ261+R262,IF('283'!$K$251=1,VLOOKUP($CO262,PerStBal,2)+R262,IF('283'!$K$253=1,(VLOOKUP($CO262,PerPortion,2)*VLOOKUP($CO262,PerStBal,6))+R262,GL!BS262))),0)</f>
        <v>0</v>
      </c>
      <c r="CK262" s="425">
        <f ca="1">IF($BH262=0,IF($CO262="",CK261+T262,IF('283'!$K$251=1,IF(mname2&lt;&gt;"",VLOOKUP($CO262,PerStBal,3)+T262,0),IF('283'!$K$253=1,(VLOOKUP($CO262,PerPortion,3)*VLOOKUP($CO262,PerStBal,6))+T262,GL!BT262))),0)</f>
        <v>0</v>
      </c>
      <c r="CL262" s="425">
        <f ca="1">IF($BH262=0,IF($CO262="",CL261+V262,IF('283'!$K$251=1,IF(mname3&lt;&gt;"",VLOOKUP($CO262,PerStBal,4)+V262,0),IF('283'!$K$253=1,(VLOOKUP($CO262,PerPortion,4)*VLOOKUP($CO262,PerStBal,6))+V262,GL!BU262))),0)</f>
        <v>0</v>
      </c>
      <c r="CM262" s="425">
        <f ca="1">IF($BH262=0,IF($CO262="",CM261+X262,IF('283'!$K$251=1,IF(mname4&lt;&gt;"",VLOOKUP($CO262,PerStBal,5)+X262,0),IF('283'!$K$253=1,(VLOOKUP($CO262,PerPortion,5)*VLOOKUP($CO262,PerStBal,6))+X262,GL!BV262))),0)</f>
        <v>0</v>
      </c>
      <c r="CN262" s="50">
        <f t="shared" ca="1" si="382"/>
        <v>0</v>
      </c>
      <c r="CO262" s="4" t="str">
        <f t="shared" ca="1" si="383"/>
        <v/>
      </c>
      <c r="CP262" s="377">
        <f t="shared" si="344"/>
        <v>0</v>
      </c>
      <c r="DI262" s="4">
        <f t="shared" si="384"/>
        <v>45366</v>
      </c>
      <c r="DJ262" s="112">
        <f t="shared" ca="1" si="385"/>
        <v>0</v>
      </c>
      <c r="DK262" s="112">
        <f t="shared" si="386"/>
        <v>0</v>
      </c>
      <c r="DL262" s="4">
        <f t="shared" si="387"/>
        <v>45366</v>
      </c>
      <c r="DM262" s="112">
        <f t="shared" ca="1" si="388"/>
        <v>0</v>
      </c>
      <c r="DN262" s="112">
        <f t="shared" si="389"/>
        <v>0</v>
      </c>
      <c r="DO262" s="4">
        <f t="shared" si="390"/>
        <v>45366</v>
      </c>
      <c r="DP262" s="112">
        <f t="shared" ca="1" si="391"/>
        <v>0</v>
      </c>
      <c r="DQ262" s="112">
        <f t="shared" si="392"/>
        <v>0</v>
      </c>
      <c r="DR262" s="4">
        <f t="shared" si="393"/>
        <v>45366</v>
      </c>
      <c r="DS262" s="112">
        <f t="shared" ca="1" si="394"/>
        <v>0</v>
      </c>
      <c r="DT262" s="112">
        <f t="shared" si="395"/>
        <v>0</v>
      </c>
      <c r="DU262" s="4">
        <f t="shared" si="396"/>
        <v>45366</v>
      </c>
      <c r="DV262" s="112">
        <f t="shared" si="397"/>
        <v>0</v>
      </c>
      <c r="DW262" s="112">
        <f t="shared" si="398"/>
        <v>0</v>
      </c>
    </row>
    <row r="263" spans="8:127" x14ac:dyDescent="0.25">
      <c r="Q263" s="4">
        <f t="shared" si="345"/>
        <v>45367</v>
      </c>
      <c r="R263" s="24">
        <f t="shared" si="346"/>
        <v>0</v>
      </c>
      <c r="S263" s="25">
        <f t="shared" si="347"/>
        <v>0</v>
      </c>
      <c r="T263" s="24">
        <f t="shared" si="348"/>
        <v>0</v>
      </c>
      <c r="U263" s="25">
        <f t="shared" si="349"/>
        <v>0</v>
      </c>
      <c r="V263" s="24">
        <f t="shared" si="350"/>
        <v>0</v>
      </c>
      <c r="W263" s="25">
        <f t="shared" si="351"/>
        <v>0</v>
      </c>
      <c r="X263" s="24">
        <f t="shared" si="352"/>
        <v>0</v>
      </c>
      <c r="Y263" s="26">
        <f t="shared" si="353"/>
        <v>0</v>
      </c>
      <c r="Z263" s="27">
        <f t="shared" si="354"/>
        <v>0</v>
      </c>
      <c r="AA263" s="28">
        <f t="shared" si="355"/>
        <v>45367</v>
      </c>
      <c r="AB263" s="24">
        <f t="shared" si="356"/>
        <v>0</v>
      </c>
      <c r="AC263" s="25">
        <f t="shared" si="357"/>
        <v>0</v>
      </c>
      <c r="AD263" s="28">
        <f t="shared" si="358"/>
        <v>45367</v>
      </c>
      <c r="AE263" s="24">
        <f t="shared" si="359"/>
        <v>0</v>
      </c>
      <c r="AF263" s="25">
        <f t="shared" si="360"/>
        <v>0</v>
      </c>
      <c r="AG263" s="28">
        <f t="shared" si="361"/>
        <v>45367</v>
      </c>
      <c r="AH263" s="24">
        <f t="shared" si="362"/>
        <v>0</v>
      </c>
      <c r="AI263" s="25">
        <f t="shared" si="363"/>
        <v>0</v>
      </c>
      <c r="AJ263" s="28">
        <f t="shared" si="364"/>
        <v>45367</v>
      </c>
      <c r="AK263" s="24">
        <f t="shared" si="365"/>
        <v>0</v>
      </c>
      <c r="AL263" s="25">
        <f t="shared" si="366"/>
        <v>0</v>
      </c>
      <c r="AM263" s="29">
        <f t="shared" si="367"/>
        <v>0</v>
      </c>
      <c r="AN263" s="28">
        <f t="shared" si="368"/>
        <v>45367</v>
      </c>
      <c r="AO263" s="373">
        <f t="shared" si="337"/>
        <v>0</v>
      </c>
      <c r="AP263" s="374">
        <f t="shared" si="338"/>
        <v>0</v>
      </c>
      <c r="AQ263" s="27">
        <f t="shared" si="339"/>
        <v>0</v>
      </c>
      <c r="AR263" s="25">
        <f t="shared" si="340"/>
        <v>0</v>
      </c>
      <c r="AS263" s="25">
        <f t="shared" si="341"/>
        <v>0</v>
      </c>
      <c r="AT263" s="25">
        <f t="shared" si="342"/>
        <v>0</v>
      </c>
      <c r="AU263" s="29">
        <f t="shared" si="399"/>
        <v>0</v>
      </c>
      <c r="AV263" s="27">
        <f t="shared" si="369"/>
        <v>0</v>
      </c>
      <c r="AW263" s="27">
        <f t="shared" si="370"/>
        <v>0</v>
      </c>
      <c r="AX263" s="27">
        <f t="shared" si="371"/>
        <v>0</v>
      </c>
      <c r="AY263" s="27">
        <f t="shared" si="372"/>
        <v>0</v>
      </c>
      <c r="BH263" s="2">
        <f t="shared" si="373"/>
        <v>0</v>
      </c>
      <c r="BI263" s="298" t="str">
        <f t="shared" si="374"/>
        <v/>
      </c>
      <c r="BJ263" s="298" t="str">
        <f t="shared" si="343"/>
        <v/>
      </c>
      <c r="BQ263" s="4">
        <f t="shared" si="375"/>
        <v>45367</v>
      </c>
      <c r="BR263" s="112">
        <f t="shared" si="376"/>
        <v>0</v>
      </c>
      <c r="BS263" s="112">
        <f t="shared" si="377"/>
        <v>0</v>
      </c>
      <c r="BT263" s="112">
        <f t="shared" si="378"/>
        <v>0</v>
      </c>
      <c r="BU263" s="112">
        <f t="shared" si="379"/>
        <v>0</v>
      </c>
      <c r="BV263" s="112">
        <f t="shared" si="380"/>
        <v>0</v>
      </c>
      <c r="CI263" s="4">
        <f t="shared" si="381"/>
        <v>45367</v>
      </c>
      <c r="CJ263" s="50">
        <f ca="1">IF($BH263=0,IF($CO263="",CJ262+R263,IF('283'!$K$251=1,VLOOKUP($CO263,PerStBal,2)+R263,IF('283'!$K$253=1,(VLOOKUP($CO263,PerPortion,2)*VLOOKUP($CO263,PerStBal,6))+R263,GL!BS263))),0)</f>
        <v>0</v>
      </c>
      <c r="CK263" s="425">
        <f ca="1">IF($BH263=0,IF($CO263="",CK262+T263,IF('283'!$K$251=1,IF(mname2&lt;&gt;"",VLOOKUP($CO263,PerStBal,3)+T263,0),IF('283'!$K$253=1,(VLOOKUP($CO263,PerPortion,3)*VLOOKUP($CO263,PerStBal,6))+T263,GL!BT263))),0)</f>
        <v>0</v>
      </c>
      <c r="CL263" s="425">
        <f ca="1">IF($BH263=0,IF($CO263="",CL262+V263,IF('283'!$K$251=1,IF(mname3&lt;&gt;"",VLOOKUP($CO263,PerStBal,4)+V263,0),IF('283'!$K$253=1,(VLOOKUP($CO263,PerPortion,4)*VLOOKUP($CO263,PerStBal,6))+V263,GL!BU263))),0)</f>
        <v>0</v>
      </c>
      <c r="CM263" s="425">
        <f ca="1">IF($BH263=0,IF($CO263="",CM262+X263,IF('283'!$K$251=1,IF(mname4&lt;&gt;"",VLOOKUP($CO263,PerStBal,5)+X263,0),IF('283'!$K$253=1,(VLOOKUP($CO263,PerPortion,5)*VLOOKUP($CO263,PerStBal,6))+X263,GL!BV263))),0)</f>
        <v>0</v>
      </c>
      <c r="CN263" s="50">
        <f t="shared" ca="1" si="382"/>
        <v>0</v>
      </c>
      <c r="CO263" s="4" t="str">
        <f t="shared" ca="1" si="383"/>
        <v/>
      </c>
      <c r="CP263" s="377">
        <f t="shared" si="344"/>
        <v>0</v>
      </c>
      <c r="DI263" s="4">
        <f t="shared" si="384"/>
        <v>45367</v>
      </c>
      <c r="DJ263" s="112">
        <f t="shared" ca="1" si="385"/>
        <v>0</v>
      </c>
      <c r="DK263" s="112">
        <f t="shared" si="386"/>
        <v>0</v>
      </c>
      <c r="DL263" s="4">
        <f t="shared" si="387"/>
        <v>45367</v>
      </c>
      <c r="DM263" s="112">
        <f t="shared" ca="1" si="388"/>
        <v>0</v>
      </c>
      <c r="DN263" s="112">
        <f t="shared" si="389"/>
        <v>0</v>
      </c>
      <c r="DO263" s="4">
        <f t="shared" si="390"/>
        <v>45367</v>
      </c>
      <c r="DP263" s="112">
        <f t="shared" ca="1" si="391"/>
        <v>0</v>
      </c>
      <c r="DQ263" s="112">
        <f t="shared" si="392"/>
        <v>0</v>
      </c>
      <c r="DR263" s="4">
        <f t="shared" si="393"/>
        <v>45367</v>
      </c>
      <c r="DS263" s="112">
        <f t="shared" ca="1" si="394"/>
        <v>0</v>
      </c>
      <c r="DT263" s="112">
        <f t="shared" si="395"/>
        <v>0</v>
      </c>
      <c r="DU263" s="4">
        <f t="shared" si="396"/>
        <v>45367</v>
      </c>
      <c r="DV263" s="112">
        <f t="shared" si="397"/>
        <v>0</v>
      </c>
      <c r="DW263" s="112">
        <f t="shared" si="398"/>
        <v>0</v>
      </c>
    </row>
    <row r="264" spans="8:127" x14ac:dyDescent="0.25">
      <c r="I264" s="2" t="s">
        <v>132</v>
      </c>
      <c r="J264" s="126">
        <f t="shared" ref="J264:L265" ca="1" si="400">J255+J257+J259+J261</f>
        <v>0</v>
      </c>
      <c r="K264" s="126">
        <f t="shared" ca="1" si="400"/>
        <v>0</v>
      </c>
      <c r="L264" s="126">
        <f t="shared" ca="1" si="400"/>
        <v>0</v>
      </c>
      <c r="M264" s="72">
        <f t="shared" ca="1" si="336"/>
        <v>0</v>
      </c>
      <c r="Q264" s="4">
        <f t="shared" si="345"/>
        <v>45368</v>
      </c>
      <c r="R264" s="24">
        <f t="shared" si="346"/>
        <v>0</v>
      </c>
      <c r="S264" s="25">
        <f t="shared" si="347"/>
        <v>0</v>
      </c>
      <c r="T264" s="24">
        <f t="shared" si="348"/>
        <v>0</v>
      </c>
      <c r="U264" s="25">
        <f t="shared" si="349"/>
        <v>0</v>
      </c>
      <c r="V264" s="24">
        <f t="shared" si="350"/>
        <v>0</v>
      </c>
      <c r="W264" s="25">
        <f t="shared" si="351"/>
        <v>0</v>
      </c>
      <c r="X264" s="24">
        <f t="shared" si="352"/>
        <v>0</v>
      </c>
      <c r="Y264" s="26">
        <f t="shared" si="353"/>
        <v>0</v>
      </c>
      <c r="Z264" s="27">
        <f t="shared" si="354"/>
        <v>0</v>
      </c>
      <c r="AA264" s="28">
        <f t="shared" si="355"/>
        <v>45368</v>
      </c>
      <c r="AB264" s="24">
        <f t="shared" si="356"/>
        <v>0</v>
      </c>
      <c r="AC264" s="25">
        <f t="shared" si="357"/>
        <v>0</v>
      </c>
      <c r="AD264" s="28">
        <f t="shared" si="358"/>
        <v>45368</v>
      </c>
      <c r="AE264" s="24">
        <f t="shared" si="359"/>
        <v>0</v>
      </c>
      <c r="AF264" s="25">
        <f t="shared" si="360"/>
        <v>0</v>
      </c>
      <c r="AG264" s="28">
        <f t="shared" si="361"/>
        <v>45368</v>
      </c>
      <c r="AH264" s="24">
        <f t="shared" si="362"/>
        <v>0</v>
      </c>
      <c r="AI264" s="25">
        <f t="shared" si="363"/>
        <v>0</v>
      </c>
      <c r="AJ264" s="28">
        <f t="shared" si="364"/>
        <v>45368</v>
      </c>
      <c r="AK264" s="24">
        <f t="shared" si="365"/>
        <v>0</v>
      </c>
      <c r="AL264" s="25">
        <f t="shared" si="366"/>
        <v>0</v>
      </c>
      <c r="AM264" s="29">
        <f t="shared" si="367"/>
        <v>0</v>
      </c>
      <c r="AN264" s="28">
        <f t="shared" si="368"/>
        <v>45368</v>
      </c>
      <c r="AO264" s="373">
        <f t="shared" si="337"/>
        <v>0</v>
      </c>
      <c r="AP264" s="374">
        <f t="shared" si="338"/>
        <v>0</v>
      </c>
      <c r="AQ264" s="27">
        <f t="shared" si="339"/>
        <v>0</v>
      </c>
      <c r="AR264" s="25">
        <f t="shared" si="340"/>
        <v>0</v>
      </c>
      <c r="AS264" s="25">
        <f t="shared" si="341"/>
        <v>0</v>
      </c>
      <c r="AT264" s="25">
        <f t="shared" si="342"/>
        <v>0</v>
      </c>
      <c r="AU264" s="29">
        <f t="shared" si="399"/>
        <v>0</v>
      </c>
      <c r="AV264" s="27">
        <f t="shared" si="369"/>
        <v>0</v>
      </c>
      <c r="AW264" s="27">
        <f t="shared" si="370"/>
        <v>0</v>
      </c>
      <c r="AX264" s="27">
        <f t="shared" si="371"/>
        <v>0</v>
      </c>
      <c r="AY264" s="27">
        <f t="shared" si="372"/>
        <v>0</v>
      </c>
      <c r="BH264" s="2">
        <f t="shared" si="373"/>
        <v>0</v>
      </c>
      <c r="BI264" s="298" t="str">
        <f t="shared" si="374"/>
        <v/>
      </c>
      <c r="BJ264" s="298" t="str">
        <f t="shared" si="343"/>
        <v/>
      </c>
      <c r="BQ264" s="4">
        <f t="shared" si="375"/>
        <v>45368</v>
      </c>
      <c r="BR264" s="112">
        <f t="shared" si="376"/>
        <v>0</v>
      </c>
      <c r="BS264" s="112">
        <f t="shared" si="377"/>
        <v>0</v>
      </c>
      <c r="BT264" s="112">
        <f t="shared" si="378"/>
        <v>0</v>
      </c>
      <c r="BU264" s="112">
        <f t="shared" si="379"/>
        <v>0</v>
      </c>
      <c r="BV264" s="112">
        <f t="shared" si="380"/>
        <v>0</v>
      </c>
      <c r="CI264" s="4">
        <f t="shared" si="381"/>
        <v>45368</v>
      </c>
      <c r="CJ264" s="50">
        <f ca="1">IF($BH264=0,IF($CO264="",CJ263+R264,IF('283'!$K$251=1,VLOOKUP($CO264,PerStBal,2)+R264,IF('283'!$K$253=1,(VLOOKUP($CO264,PerPortion,2)*VLOOKUP($CO264,PerStBal,6))+R264,GL!BS264))),0)</f>
        <v>0</v>
      </c>
      <c r="CK264" s="425">
        <f ca="1">IF($BH264=0,IF($CO264="",CK263+T264,IF('283'!$K$251=1,IF(mname2&lt;&gt;"",VLOOKUP($CO264,PerStBal,3)+T264,0),IF('283'!$K$253=1,(VLOOKUP($CO264,PerPortion,3)*VLOOKUP($CO264,PerStBal,6))+T264,GL!BT264))),0)</f>
        <v>0</v>
      </c>
      <c r="CL264" s="425">
        <f ca="1">IF($BH264=0,IF($CO264="",CL263+V264,IF('283'!$K$251=1,IF(mname3&lt;&gt;"",VLOOKUP($CO264,PerStBal,4)+V264,0),IF('283'!$K$253=1,(VLOOKUP($CO264,PerPortion,4)*VLOOKUP($CO264,PerStBal,6))+V264,GL!BU264))),0)</f>
        <v>0</v>
      </c>
      <c r="CM264" s="425">
        <f ca="1">IF($BH264=0,IF($CO264="",CM263+X264,IF('283'!$K$251=1,IF(mname4&lt;&gt;"",VLOOKUP($CO264,PerStBal,5)+X264,0),IF('283'!$K$253=1,(VLOOKUP($CO264,PerPortion,5)*VLOOKUP($CO264,PerStBal,6))+X264,GL!BV264))),0)</f>
        <v>0</v>
      </c>
      <c r="CN264" s="50">
        <f t="shared" ca="1" si="382"/>
        <v>0</v>
      </c>
      <c r="CO264" s="4" t="str">
        <f t="shared" ca="1" si="383"/>
        <v/>
      </c>
      <c r="CP264" s="377">
        <f t="shared" si="344"/>
        <v>0</v>
      </c>
      <c r="DI264" s="4">
        <f t="shared" si="384"/>
        <v>45368</v>
      </c>
      <c r="DJ264" s="112">
        <f t="shared" ca="1" si="385"/>
        <v>0</v>
      </c>
      <c r="DK264" s="112">
        <f t="shared" si="386"/>
        <v>0</v>
      </c>
      <c r="DL264" s="4">
        <f t="shared" si="387"/>
        <v>45368</v>
      </c>
      <c r="DM264" s="112">
        <f t="shared" ca="1" si="388"/>
        <v>0</v>
      </c>
      <c r="DN264" s="112">
        <f t="shared" si="389"/>
        <v>0</v>
      </c>
      <c r="DO264" s="4">
        <f t="shared" si="390"/>
        <v>45368</v>
      </c>
      <c r="DP264" s="112">
        <f t="shared" ca="1" si="391"/>
        <v>0</v>
      </c>
      <c r="DQ264" s="112">
        <f t="shared" si="392"/>
        <v>0</v>
      </c>
      <c r="DR264" s="4">
        <f t="shared" si="393"/>
        <v>45368</v>
      </c>
      <c r="DS264" s="112">
        <f t="shared" ca="1" si="394"/>
        <v>0</v>
      </c>
      <c r="DT264" s="112">
        <f t="shared" si="395"/>
        <v>0</v>
      </c>
      <c r="DU264" s="4">
        <f t="shared" si="396"/>
        <v>45368</v>
      </c>
      <c r="DV264" s="112">
        <f t="shared" si="397"/>
        <v>0</v>
      </c>
      <c r="DW264" s="112">
        <f t="shared" si="398"/>
        <v>0</v>
      </c>
    </row>
    <row r="265" spans="8:127" x14ac:dyDescent="0.25">
      <c r="I265" s="2" t="s">
        <v>133</v>
      </c>
      <c r="J265" s="126">
        <f t="shared" ca="1" si="400"/>
        <v>0</v>
      </c>
      <c r="K265" s="126">
        <f t="shared" ca="1" si="400"/>
        <v>0</v>
      </c>
      <c r="L265" s="126">
        <f t="shared" ca="1" si="400"/>
        <v>0</v>
      </c>
      <c r="M265" s="72">
        <f t="shared" ca="1" si="336"/>
        <v>0</v>
      </c>
      <c r="Q265" s="4">
        <f t="shared" si="345"/>
        <v>45369</v>
      </c>
      <c r="R265" s="24">
        <f t="shared" si="346"/>
        <v>0</v>
      </c>
      <c r="S265" s="25">
        <f t="shared" si="347"/>
        <v>0</v>
      </c>
      <c r="T265" s="24">
        <f t="shared" si="348"/>
        <v>0</v>
      </c>
      <c r="U265" s="25">
        <f t="shared" si="349"/>
        <v>0</v>
      </c>
      <c r="V265" s="24">
        <f t="shared" si="350"/>
        <v>0</v>
      </c>
      <c r="W265" s="25">
        <f t="shared" si="351"/>
        <v>0</v>
      </c>
      <c r="X265" s="24">
        <f t="shared" si="352"/>
        <v>0</v>
      </c>
      <c r="Y265" s="26">
        <f t="shared" si="353"/>
        <v>0</v>
      </c>
      <c r="Z265" s="27">
        <f t="shared" si="354"/>
        <v>0</v>
      </c>
      <c r="AA265" s="28">
        <f t="shared" si="355"/>
        <v>45369</v>
      </c>
      <c r="AB265" s="24">
        <f t="shared" si="356"/>
        <v>0</v>
      </c>
      <c r="AC265" s="25">
        <f t="shared" si="357"/>
        <v>0</v>
      </c>
      <c r="AD265" s="28">
        <f t="shared" si="358"/>
        <v>45369</v>
      </c>
      <c r="AE265" s="24">
        <f t="shared" si="359"/>
        <v>0</v>
      </c>
      <c r="AF265" s="25">
        <f t="shared" si="360"/>
        <v>0</v>
      </c>
      <c r="AG265" s="28">
        <f t="shared" si="361"/>
        <v>45369</v>
      </c>
      <c r="AH265" s="24">
        <f t="shared" si="362"/>
        <v>0</v>
      </c>
      <c r="AI265" s="25">
        <f t="shared" si="363"/>
        <v>0</v>
      </c>
      <c r="AJ265" s="28">
        <f t="shared" si="364"/>
        <v>45369</v>
      </c>
      <c r="AK265" s="24">
        <f t="shared" si="365"/>
        <v>0</v>
      </c>
      <c r="AL265" s="25">
        <f t="shared" si="366"/>
        <v>0</v>
      </c>
      <c r="AM265" s="29">
        <f t="shared" si="367"/>
        <v>0</v>
      </c>
      <c r="AN265" s="28">
        <f t="shared" si="368"/>
        <v>45369</v>
      </c>
      <c r="AO265" s="373">
        <f t="shared" si="337"/>
        <v>0</v>
      </c>
      <c r="AP265" s="374">
        <f t="shared" si="338"/>
        <v>0</v>
      </c>
      <c r="AQ265" s="27">
        <f t="shared" si="339"/>
        <v>0</v>
      </c>
      <c r="AR265" s="25">
        <f t="shared" si="340"/>
        <v>0</v>
      </c>
      <c r="AS265" s="25">
        <f t="shared" si="341"/>
        <v>0</v>
      </c>
      <c r="AT265" s="25">
        <f t="shared" si="342"/>
        <v>0</v>
      </c>
      <c r="AU265" s="29">
        <f t="shared" si="399"/>
        <v>0</v>
      </c>
      <c r="AV265" s="27">
        <f t="shared" si="369"/>
        <v>0</v>
      </c>
      <c r="AW265" s="27">
        <f t="shared" si="370"/>
        <v>0</v>
      </c>
      <c r="AX265" s="27">
        <f t="shared" si="371"/>
        <v>0</v>
      </c>
      <c r="AY265" s="27">
        <f t="shared" si="372"/>
        <v>0</v>
      </c>
      <c r="BH265" s="2">
        <f t="shared" si="373"/>
        <v>0</v>
      </c>
      <c r="BI265" s="298" t="str">
        <f t="shared" si="374"/>
        <v/>
      </c>
      <c r="BJ265" s="298" t="str">
        <f t="shared" si="343"/>
        <v/>
      </c>
      <c r="BQ265" s="4">
        <f t="shared" si="375"/>
        <v>45369</v>
      </c>
      <c r="BR265" s="112">
        <f t="shared" si="376"/>
        <v>0</v>
      </c>
      <c r="BS265" s="112">
        <f t="shared" si="377"/>
        <v>0</v>
      </c>
      <c r="BT265" s="112">
        <f t="shared" si="378"/>
        <v>0</v>
      </c>
      <c r="BU265" s="112">
        <f t="shared" si="379"/>
        <v>0</v>
      </c>
      <c r="BV265" s="112">
        <f t="shared" si="380"/>
        <v>0</v>
      </c>
      <c r="CI265" s="4">
        <f t="shared" si="381"/>
        <v>45369</v>
      </c>
      <c r="CJ265" s="50">
        <f ca="1">IF($BH265=0,IF($CO265="",CJ264+R265,IF('283'!$K$251=1,VLOOKUP($CO265,PerStBal,2)+R265,IF('283'!$K$253=1,(VLOOKUP($CO265,PerPortion,2)*VLOOKUP($CO265,PerStBal,6))+R265,GL!BS265))),0)</f>
        <v>0</v>
      </c>
      <c r="CK265" s="425">
        <f ca="1">IF($BH265=0,IF($CO265="",CK264+T265,IF('283'!$K$251=1,IF(mname2&lt;&gt;"",VLOOKUP($CO265,PerStBal,3)+T265,0),IF('283'!$K$253=1,(VLOOKUP($CO265,PerPortion,3)*VLOOKUP($CO265,PerStBal,6))+T265,GL!BT265))),0)</f>
        <v>0</v>
      </c>
      <c r="CL265" s="425">
        <f ca="1">IF($BH265=0,IF($CO265="",CL264+V265,IF('283'!$K$251=1,IF(mname3&lt;&gt;"",VLOOKUP($CO265,PerStBal,4)+V265,0),IF('283'!$K$253=1,(VLOOKUP($CO265,PerPortion,4)*VLOOKUP($CO265,PerStBal,6))+V265,GL!BU265))),0)</f>
        <v>0</v>
      </c>
      <c r="CM265" s="425">
        <f ca="1">IF($BH265=0,IF($CO265="",CM264+X265,IF('283'!$K$251=1,IF(mname4&lt;&gt;"",VLOOKUP($CO265,PerStBal,5)+X265,0),IF('283'!$K$253=1,(VLOOKUP($CO265,PerPortion,5)*VLOOKUP($CO265,PerStBal,6))+X265,GL!BV265))),0)</f>
        <v>0</v>
      </c>
      <c r="CN265" s="50">
        <f t="shared" ca="1" si="382"/>
        <v>0</v>
      </c>
      <c r="CO265" s="4" t="str">
        <f t="shared" ca="1" si="383"/>
        <v/>
      </c>
      <c r="CP265" s="377">
        <f t="shared" si="344"/>
        <v>0</v>
      </c>
      <c r="DI265" s="4">
        <f t="shared" si="384"/>
        <v>45369</v>
      </c>
      <c r="DJ265" s="112">
        <f t="shared" ca="1" si="385"/>
        <v>0</v>
      </c>
      <c r="DK265" s="112">
        <f t="shared" si="386"/>
        <v>0</v>
      </c>
      <c r="DL265" s="4">
        <f t="shared" si="387"/>
        <v>45369</v>
      </c>
      <c r="DM265" s="112">
        <f t="shared" ca="1" si="388"/>
        <v>0</v>
      </c>
      <c r="DN265" s="112">
        <f t="shared" si="389"/>
        <v>0</v>
      </c>
      <c r="DO265" s="4">
        <f t="shared" si="390"/>
        <v>45369</v>
      </c>
      <c r="DP265" s="112">
        <f t="shared" ca="1" si="391"/>
        <v>0</v>
      </c>
      <c r="DQ265" s="112">
        <f t="shared" si="392"/>
        <v>0</v>
      </c>
      <c r="DR265" s="4">
        <f t="shared" si="393"/>
        <v>45369</v>
      </c>
      <c r="DS265" s="112">
        <f t="shared" ca="1" si="394"/>
        <v>0</v>
      </c>
      <c r="DT265" s="112">
        <f t="shared" si="395"/>
        <v>0</v>
      </c>
      <c r="DU265" s="4">
        <f t="shared" si="396"/>
        <v>45369</v>
      </c>
      <c r="DV265" s="112">
        <f t="shared" si="397"/>
        <v>0</v>
      </c>
      <c r="DW265" s="112">
        <f t="shared" si="398"/>
        <v>0</v>
      </c>
    </row>
    <row r="266" spans="8:127" x14ac:dyDescent="0.25">
      <c r="Q266" s="4">
        <f t="shared" si="345"/>
        <v>45370</v>
      </c>
      <c r="R266" s="24">
        <f t="shared" si="346"/>
        <v>0</v>
      </c>
      <c r="S266" s="25">
        <f t="shared" si="347"/>
        <v>0</v>
      </c>
      <c r="T266" s="24">
        <f t="shared" si="348"/>
        <v>0</v>
      </c>
      <c r="U266" s="25">
        <f t="shared" si="349"/>
        <v>0</v>
      </c>
      <c r="V266" s="24">
        <f t="shared" si="350"/>
        <v>0</v>
      </c>
      <c r="W266" s="25">
        <f t="shared" si="351"/>
        <v>0</v>
      </c>
      <c r="X266" s="24">
        <f t="shared" si="352"/>
        <v>0</v>
      </c>
      <c r="Y266" s="26">
        <f t="shared" si="353"/>
        <v>0</v>
      </c>
      <c r="Z266" s="27">
        <f t="shared" si="354"/>
        <v>0</v>
      </c>
      <c r="AA266" s="28">
        <f t="shared" si="355"/>
        <v>45370</v>
      </c>
      <c r="AB266" s="24">
        <f t="shared" si="356"/>
        <v>0</v>
      </c>
      <c r="AC266" s="25">
        <f t="shared" si="357"/>
        <v>0</v>
      </c>
      <c r="AD266" s="28">
        <f t="shared" si="358"/>
        <v>45370</v>
      </c>
      <c r="AE266" s="24">
        <f t="shared" si="359"/>
        <v>0</v>
      </c>
      <c r="AF266" s="25">
        <f t="shared" si="360"/>
        <v>0</v>
      </c>
      <c r="AG266" s="28">
        <f t="shared" si="361"/>
        <v>45370</v>
      </c>
      <c r="AH266" s="24">
        <f t="shared" si="362"/>
        <v>0</v>
      </c>
      <c r="AI266" s="25">
        <f t="shared" si="363"/>
        <v>0</v>
      </c>
      <c r="AJ266" s="28">
        <f t="shared" si="364"/>
        <v>45370</v>
      </c>
      <c r="AK266" s="24">
        <f t="shared" si="365"/>
        <v>0</v>
      </c>
      <c r="AL266" s="25">
        <f t="shared" si="366"/>
        <v>0</v>
      </c>
      <c r="AM266" s="29">
        <f t="shared" si="367"/>
        <v>0</v>
      </c>
      <c r="AN266" s="28">
        <f t="shared" si="368"/>
        <v>45370</v>
      </c>
      <c r="AO266" s="373">
        <f t="shared" si="337"/>
        <v>0</v>
      </c>
      <c r="AP266" s="374">
        <f t="shared" si="338"/>
        <v>0</v>
      </c>
      <c r="AQ266" s="27">
        <f t="shared" si="339"/>
        <v>0</v>
      </c>
      <c r="AR266" s="25">
        <f t="shared" si="340"/>
        <v>0</v>
      </c>
      <c r="AS266" s="25">
        <f t="shared" si="341"/>
        <v>0</v>
      </c>
      <c r="AT266" s="25">
        <f t="shared" si="342"/>
        <v>0</v>
      </c>
      <c r="AU266" s="29">
        <f t="shared" si="399"/>
        <v>0</v>
      </c>
      <c r="AV266" s="27">
        <f t="shared" si="369"/>
        <v>0</v>
      </c>
      <c r="AW266" s="27">
        <f t="shared" si="370"/>
        <v>0</v>
      </c>
      <c r="AX266" s="27">
        <f t="shared" si="371"/>
        <v>0</v>
      </c>
      <c r="AY266" s="27">
        <f t="shared" si="372"/>
        <v>0</v>
      </c>
      <c r="BH266" s="2">
        <f t="shared" si="373"/>
        <v>0</v>
      </c>
      <c r="BI266" s="298" t="str">
        <f t="shared" si="374"/>
        <v/>
      </c>
      <c r="BJ266" s="298" t="str">
        <f t="shared" si="343"/>
        <v/>
      </c>
      <c r="BQ266" s="4">
        <f t="shared" si="375"/>
        <v>45370</v>
      </c>
      <c r="BR266" s="112">
        <f t="shared" si="376"/>
        <v>0</v>
      </c>
      <c r="BS266" s="112">
        <f t="shared" si="377"/>
        <v>0</v>
      </c>
      <c r="BT266" s="112">
        <f t="shared" si="378"/>
        <v>0</v>
      </c>
      <c r="BU266" s="112">
        <f t="shared" si="379"/>
        <v>0</v>
      </c>
      <c r="BV266" s="112">
        <f t="shared" si="380"/>
        <v>0</v>
      </c>
      <c r="CI266" s="4">
        <f t="shared" si="381"/>
        <v>45370</v>
      </c>
      <c r="CJ266" s="50">
        <f ca="1">IF($BH266=0,IF($CO266="",CJ265+R266,IF('283'!$K$251=1,VLOOKUP($CO266,PerStBal,2)+R266,IF('283'!$K$253=1,(VLOOKUP($CO266,PerPortion,2)*VLOOKUP($CO266,PerStBal,6))+R266,GL!BS266))),0)</f>
        <v>0</v>
      </c>
      <c r="CK266" s="425">
        <f ca="1">IF($BH266=0,IF($CO266="",CK265+T266,IF('283'!$K$251=1,IF(mname2&lt;&gt;"",VLOOKUP($CO266,PerStBal,3)+T266,0),IF('283'!$K$253=1,(VLOOKUP($CO266,PerPortion,3)*VLOOKUP($CO266,PerStBal,6))+T266,GL!BT266))),0)</f>
        <v>0</v>
      </c>
      <c r="CL266" s="425">
        <f ca="1">IF($BH266=0,IF($CO266="",CL265+V266,IF('283'!$K$251=1,IF(mname3&lt;&gt;"",VLOOKUP($CO266,PerStBal,4)+V266,0),IF('283'!$K$253=1,(VLOOKUP($CO266,PerPortion,4)*VLOOKUP($CO266,PerStBal,6))+V266,GL!BU266))),0)</f>
        <v>0</v>
      </c>
      <c r="CM266" s="425">
        <f ca="1">IF($BH266=0,IF($CO266="",CM265+X266,IF('283'!$K$251=1,IF(mname4&lt;&gt;"",VLOOKUP($CO266,PerStBal,5)+X266,0),IF('283'!$K$253=1,(VLOOKUP($CO266,PerPortion,5)*VLOOKUP($CO266,PerStBal,6))+X266,GL!BV266))),0)</f>
        <v>0</v>
      </c>
      <c r="CN266" s="50">
        <f t="shared" ca="1" si="382"/>
        <v>0</v>
      </c>
      <c r="CO266" s="4" t="str">
        <f t="shared" ca="1" si="383"/>
        <v/>
      </c>
      <c r="CP266" s="377">
        <f t="shared" si="344"/>
        <v>0</v>
      </c>
      <c r="DI266" s="4">
        <f t="shared" si="384"/>
        <v>45370</v>
      </c>
      <c r="DJ266" s="112">
        <f t="shared" ca="1" si="385"/>
        <v>0</v>
      </c>
      <c r="DK266" s="112">
        <f t="shared" si="386"/>
        <v>0</v>
      </c>
      <c r="DL266" s="4">
        <f t="shared" si="387"/>
        <v>45370</v>
      </c>
      <c r="DM266" s="112">
        <f t="shared" ca="1" si="388"/>
        <v>0</v>
      </c>
      <c r="DN266" s="112">
        <f t="shared" si="389"/>
        <v>0</v>
      </c>
      <c r="DO266" s="4">
        <f t="shared" si="390"/>
        <v>45370</v>
      </c>
      <c r="DP266" s="112">
        <f t="shared" ca="1" si="391"/>
        <v>0</v>
      </c>
      <c r="DQ266" s="112">
        <f t="shared" si="392"/>
        <v>0</v>
      </c>
      <c r="DR266" s="4">
        <f t="shared" si="393"/>
        <v>45370</v>
      </c>
      <c r="DS266" s="112">
        <f t="shared" ca="1" si="394"/>
        <v>0</v>
      </c>
      <c r="DT266" s="112">
        <f t="shared" si="395"/>
        <v>0</v>
      </c>
      <c r="DU266" s="4">
        <f t="shared" si="396"/>
        <v>45370</v>
      </c>
      <c r="DV266" s="112">
        <f t="shared" si="397"/>
        <v>0</v>
      </c>
      <c r="DW266" s="112">
        <f t="shared" si="398"/>
        <v>0</v>
      </c>
    </row>
    <row r="267" spans="8:127" x14ac:dyDescent="0.25">
      <c r="Q267" s="4">
        <f t="shared" si="345"/>
        <v>45371</v>
      </c>
      <c r="R267" s="24">
        <f t="shared" si="346"/>
        <v>0</v>
      </c>
      <c r="S267" s="25">
        <f t="shared" si="347"/>
        <v>0</v>
      </c>
      <c r="T267" s="24">
        <f t="shared" si="348"/>
        <v>0</v>
      </c>
      <c r="U267" s="25">
        <f t="shared" si="349"/>
        <v>0</v>
      </c>
      <c r="V267" s="24">
        <f t="shared" si="350"/>
        <v>0</v>
      </c>
      <c r="W267" s="25">
        <f t="shared" si="351"/>
        <v>0</v>
      </c>
      <c r="X267" s="24">
        <f t="shared" si="352"/>
        <v>0</v>
      </c>
      <c r="Y267" s="26">
        <f t="shared" si="353"/>
        <v>0</v>
      </c>
      <c r="Z267" s="27">
        <f t="shared" si="354"/>
        <v>0</v>
      </c>
      <c r="AA267" s="28">
        <f t="shared" si="355"/>
        <v>45371</v>
      </c>
      <c r="AB267" s="24">
        <f t="shared" si="356"/>
        <v>0</v>
      </c>
      <c r="AC267" s="25">
        <f t="shared" si="357"/>
        <v>0</v>
      </c>
      <c r="AD267" s="28">
        <f t="shared" si="358"/>
        <v>45371</v>
      </c>
      <c r="AE267" s="24">
        <f t="shared" si="359"/>
        <v>0</v>
      </c>
      <c r="AF267" s="25">
        <f t="shared" si="360"/>
        <v>0</v>
      </c>
      <c r="AG267" s="28">
        <f t="shared" si="361"/>
        <v>45371</v>
      </c>
      <c r="AH267" s="24">
        <f t="shared" si="362"/>
        <v>0</v>
      </c>
      <c r="AI267" s="25">
        <f t="shared" si="363"/>
        <v>0</v>
      </c>
      <c r="AJ267" s="28">
        <f t="shared" si="364"/>
        <v>45371</v>
      </c>
      <c r="AK267" s="24">
        <f t="shared" si="365"/>
        <v>0</v>
      </c>
      <c r="AL267" s="25">
        <f t="shared" si="366"/>
        <v>0</v>
      </c>
      <c r="AM267" s="29">
        <f t="shared" si="367"/>
        <v>0</v>
      </c>
      <c r="AN267" s="28">
        <f t="shared" si="368"/>
        <v>45371</v>
      </c>
      <c r="AO267" s="373">
        <f t="shared" si="337"/>
        <v>0</v>
      </c>
      <c r="AP267" s="374">
        <f t="shared" si="338"/>
        <v>0</v>
      </c>
      <c r="AQ267" s="27">
        <f t="shared" si="339"/>
        <v>0</v>
      </c>
      <c r="AR267" s="25">
        <f t="shared" si="340"/>
        <v>0</v>
      </c>
      <c r="AS267" s="25">
        <f t="shared" si="341"/>
        <v>0</v>
      </c>
      <c r="AT267" s="25">
        <f t="shared" si="342"/>
        <v>0</v>
      </c>
      <c r="AU267" s="29">
        <f t="shared" si="399"/>
        <v>0</v>
      </c>
      <c r="AV267" s="27">
        <f t="shared" si="369"/>
        <v>0</v>
      </c>
      <c r="AW267" s="27">
        <f t="shared" si="370"/>
        <v>0</v>
      </c>
      <c r="AX267" s="27">
        <f t="shared" si="371"/>
        <v>0</v>
      </c>
      <c r="AY267" s="27">
        <f t="shared" si="372"/>
        <v>0</v>
      </c>
      <c r="BH267" s="2">
        <f t="shared" si="373"/>
        <v>0</v>
      </c>
      <c r="BI267" s="298" t="str">
        <f t="shared" si="374"/>
        <v/>
      </c>
      <c r="BJ267" s="298" t="str">
        <f t="shared" si="343"/>
        <v/>
      </c>
      <c r="BQ267" s="4">
        <f t="shared" si="375"/>
        <v>45371</v>
      </c>
      <c r="BR267" s="112">
        <f t="shared" si="376"/>
        <v>0</v>
      </c>
      <c r="BS267" s="112">
        <f t="shared" si="377"/>
        <v>0</v>
      </c>
      <c r="BT267" s="112">
        <f t="shared" si="378"/>
        <v>0</v>
      </c>
      <c r="BU267" s="112">
        <f t="shared" si="379"/>
        <v>0</v>
      </c>
      <c r="BV267" s="112">
        <f t="shared" si="380"/>
        <v>0</v>
      </c>
      <c r="CI267" s="4">
        <f t="shared" si="381"/>
        <v>45371</v>
      </c>
      <c r="CJ267" s="50">
        <f ca="1">IF($BH267=0,IF($CO267="",CJ266+R267,IF('283'!$K$251=1,VLOOKUP($CO267,PerStBal,2)+R267,IF('283'!$K$253=1,(VLOOKUP($CO267,PerPortion,2)*VLOOKUP($CO267,PerStBal,6))+R267,GL!BS267))),0)</f>
        <v>0</v>
      </c>
      <c r="CK267" s="425">
        <f ca="1">IF($BH267=0,IF($CO267="",CK266+T267,IF('283'!$K$251=1,IF(mname2&lt;&gt;"",VLOOKUP($CO267,PerStBal,3)+T267,0),IF('283'!$K$253=1,(VLOOKUP($CO267,PerPortion,3)*VLOOKUP($CO267,PerStBal,6))+T267,GL!BT267))),0)</f>
        <v>0</v>
      </c>
      <c r="CL267" s="425">
        <f ca="1">IF($BH267=0,IF($CO267="",CL266+V267,IF('283'!$K$251=1,IF(mname3&lt;&gt;"",VLOOKUP($CO267,PerStBal,4)+V267,0),IF('283'!$K$253=1,(VLOOKUP($CO267,PerPortion,4)*VLOOKUP($CO267,PerStBal,6))+V267,GL!BU267))),0)</f>
        <v>0</v>
      </c>
      <c r="CM267" s="425">
        <f ca="1">IF($BH267=0,IF($CO267="",CM266+X267,IF('283'!$K$251=1,IF(mname4&lt;&gt;"",VLOOKUP($CO267,PerStBal,5)+X267,0),IF('283'!$K$253=1,(VLOOKUP($CO267,PerPortion,5)*VLOOKUP($CO267,PerStBal,6))+X267,GL!BV267))),0)</f>
        <v>0</v>
      </c>
      <c r="CN267" s="50">
        <f t="shared" ca="1" si="382"/>
        <v>0</v>
      </c>
      <c r="CO267" s="4" t="str">
        <f t="shared" ca="1" si="383"/>
        <v/>
      </c>
      <c r="CP267" s="377">
        <f t="shared" si="344"/>
        <v>0</v>
      </c>
      <c r="DI267" s="4">
        <f t="shared" si="384"/>
        <v>45371</v>
      </c>
      <c r="DJ267" s="112">
        <f t="shared" ca="1" si="385"/>
        <v>0</v>
      </c>
      <c r="DK267" s="112">
        <f t="shared" si="386"/>
        <v>0</v>
      </c>
      <c r="DL267" s="4">
        <f t="shared" si="387"/>
        <v>45371</v>
      </c>
      <c r="DM267" s="112">
        <f t="shared" ca="1" si="388"/>
        <v>0</v>
      </c>
      <c r="DN267" s="112">
        <f t="shared" si="389"/>
        <v>0</v>
      </c>
      <c r="DO267" s="4">
        <f t="shared" si="390"/>
        <v>45371</v>
      </c>
      <c r="DP267" s="112">
        <f t="shared" ca="1" si="391"/>
        <v>0</v>
      </c>
      <c r="DQ267" s="112">
        <f t="shared" si="392"/>
        <v>0</v>
      </c>
      <c r="DR267" s="4">
        <f t="shared" si="393"/>
        <v>45371</v>
      </c>
      <c r="DS267" s="112">
        <f t="shared" ca="1" si="394"/>
        <v>0</v>
      </c>
      <c r="DT267" s="112">
        <f t="shared" si="395"/>
        <v>0</v>
      </c>
      <c r="DU267" s="4">
        <f t="shared" si="396"/>
        <v>45371</v>
      </c>
      <c r="DV267" s="112">
        <f t="shared" si="397"/>
        <v>0</v>
      </c>
      <c r="DW267" s="112">
        <f t="shared" si="398"/>
        <v>0</v>
      </c>
    </row>
    <row r="268" spans="8:127" x14ac:dyDescent="0.25">
      <c r="Q268" s="4">
        <f t="shared" si="345"/>
        <v>45372</v>
      </c>
      <c r="R268" s="24">
        <f t="shared" si="346"/>
        <v>0</v>
      </c>
      <c r="S268" s="25">
        <f t="shared" si="347"/>
        <v>0</v>
      </c>
      <c r="T268" s="24">
        <f t="shared" si="348"/>
        <v>0</v>
      </c>
      <c r="U268" s="25">
        <f t="shared" si="349"/>
        <v>0</v>
      </c>
      <c r="V268" s="24">
        <f t="shared" si="350"/>
        <v>0</v>
      </c>
      <c r="W268" s="25">
        <f t="shared" si="351"/>
        <v>0</v>
      </c>
      <c r="X268" s="24">
        <f t="shared" si="352"/>
        <v>0</v>
      </c>
      <c r="Y268" s="26">
        <f t="shared" si="353"/>
        <v>0</v>
      </c>
      <c r="Z268" s="27">
        <f t="shared" si="354"/>
        <v>0</v>
      </c>
      <c r="AA268" s="28">
        <f t="shared" si="355"/>
        <v>45372</v>
      </c>
      <c r="AB268" s="24">
        <f t="shared" si="356"/>
        <v>0</v>
      </c>
      <c r="AC268" s="25">
        <f t="shared" si="357"/>
        <v>0</v>
      </c>
      <c r="AD268" s="28">
        <f t="shared" si="358"/>
        <v>45372</v>
      </c>
      <c r="AE268" s="24">
        <f t="shared" si="359"/>
        <v>0</v>
      </c>
      <c r="AF268" s="25">
        <f t="shared" si="360"/>
        <v>0</v>
      </c>
      <c r="AG268" s="28">
        <f t="shared" si="361"/>
        <v>45372</v>
      </c>
      <c r="AH268" s="24">
        <f t="shared" si="362"/>
        <v>0</v>
      </c>
      <c r="AI268" s="25">
        <f t="shared" si="363"/>
        <v>0</v>
      </c>
      <c r="AJ268" s="28">
        <f t="shared" si="364"/>
        <v>45372</v>
      </c>
      <c r="AK268" s="24">
        <f t="shared" si="365"/>
        <v>0</v>
      </c>
      <c r="AL268" s="25">
        <f t="shared" si="366"/>
        <v>0</v>
      </c>
      <c r="AM268" s="29">
        <f t="shared" si="367"/>
        <v>0</v>
      </c>
      <c r="AN268" s="28">
        <f t="shared" si="368"/>
        <v>45372</v>
      </c>
      <c r="AO268" s="373">
        <f t="shared" si="337"/>
        <v>0</v>
      </c>
      <c r="AP268" s="374">
        <f t="shared" si="338"/>
        <v>0</v>
      </c>
      <c r="AQ268" s="27">
        <f t="shared" si="339"/>
        <v>0</v>
      </c>
      <c r="AR268" s="25">
        <f t="shared" si="340"/>
        <v>0</v>
      </c>
      <c r="AS268" s="25">
        <f t="shared" si="341"/>
        <v>0</v>
      </c>
      <c r="AT268" s="25">
        <f t="shared" si="342"/>
        <v>0</v>
      </c>
      <c r="AU268" s="29">
        <f t="shared" si="399"/>
        <v>0</v>
      </c>
      <c r="AV268" s="27">
        <f t="shared" si="369"/>
        <v>0</v>
      </c>
      <c r="AW268" s="27">
        <f t="shared" si="370"/>
        <v>0</v>
      </c>
      <c r="AX268" s="27">
        <f t="shared" si="371"/>
        <v>0</v>
      </c>
      <c r="AY268" s="27">
        <f t="shared" si="372"/>
        <v>0</v>
      </c>
      <c r="BH268" s="2">
        <f t="shared" si="373"/>
        <v>0</v>
      </c>
      <c r="BI268" s="298" t="str">
        <f t="shared" si="374"/>
        <v/>
      </c>
      <c r="BJ268" s="298" t="str">
        <f t="shared" si="343"/>
        <v/>
      </c>
      <c r="BQ268" s="4">
        <f t="shared" si="375"/>
        <v>45372</v>
      </c>
      <c r="BR268" s="112">
        <f t="shared" si="376"/>
        <v>0</v>
      </c>
      <c r="BS268" s="112">
        <f t="shared" si="377"/>
        <v>0</v>
      </c>
      <c r="BT268" s="112">
        <f t="shared" si="378"/>
        <v>0</v>
      </c>
      <c r="BU268" s="112">
        <f t="shared" si="379"/>
        <v>0</v>
      </c>
      <c r="BV268" s="112">
        <f t="shared" si="380"/>
        <v>0</v>
      </c>
      <c r="CI268" s="4">
        <f t="shared" si="381"/>
        <v>45372</v>
      </c>
      <c r="CJ268" s="50">
        <f ca="1">IF($BH268=0,IF($CO268="",CJ267+R268,IF('283'!$K$251=1,VLOOKUP($CO268,PerStBal,2)+R268,IF('283'!$K$253=1,(VLOOKUP($CO268,PerPortion,2)*VLOOKUP($CO268,PerStBal,6))+R268,GL!BS268))),0)</f>
        <v>0</v>
      </c>
      <c r="CK268" s="425">
        <f ca="1">IF($BH268=0,IF($CO268="",CK267+T268,IF('283'!$K$251=1,IF(mname2&lt;&gt;"",VLOOKUP($CO268,PerStBal,3)+T268,0),IF('283'!$K$253=1,(VLOOKUP($CO268,PerPortion,3)*VLOOKUP($CO268,PerStBal,6))+T268,GL!BT268))),0)</f>
        <v>0</v>
      </c>
      <c r="CL268" s="425">
        <f ca="1">IF($BH268=0,IF($CO268="",CL267+V268,IF('283'!$K$251=1,IF(mname3&lt;&gt;"",VLOOKUP($CO268,PerStBal,4)+V268,0),IF('283'!$K$253=1,(VLOOKUP($CO268,PerPortion,4)*VLOOKUP($CO268,PerStBal,6))+V268,GL!BU268))),0)</f>
        <v>0</v>
      </c>
      <c r="CM268" s="425">
        <f ca="1">IF($BH268=0,IF($CO268="",CM267+X268,IF('283'!$K$251=1,IF(mname4&lt;&gt;"",VLOOKUP($CO268,PerStBal,5)+X268,0),IF('283'!$K$253=1,(VLOOKUP($CO268,PerPortion,5)*VLOOKUP($CO268,PerStBal,6))+X268,GL!BV268))),0)</f>
        <v>0</v>
      </c>
      <c r="CN268" s="50">
        <f t="shared" ca="1" si="382"/>
        <v>0</v>
      </c>
      <c r="CO268" s="4" t="str">
        <f t="shared" ca="1" si="383"/>
        <v/>
      </c>
      <c r="CP268" s="377">
        <f t="shared" si="344"/>
        <v>0</v>
      </c>
      <c r="DI268" s="4">
        <f t="shared" si="384"/>
        <v>45372</v>
      </c>
      <c r="DJ268" s="112">
        <f t="shared" ca="1" si="385"/>
        <v>0</v>
      </c>
      <c r="DK268" s="112">
        <f t="shared" si="386"/>
        <v>0</v>
      </c>
      <c r="DL268" s="4">
        <f t="shared" si="387"/>
        <v>45372</v>
      </c>
      <c r="DM268" s="112">
        <f t="shared" ca="1" si="388"/>
        <v>0</v>
      </c>
      <c r="DN268" s="112">
        <f t="shared" si="389"/>
        <v>0</v>
      </c>
      <c r="DO268" s="4">
        <f t="shared" si="390"/>
        <v>45372</v>
      </c>
      <c r="DP268" s="112">
        <f t="shared" ca="1" si="391"/>
        <v>0</v>
      </c>
      <c r="DQ268" s="112">
        <f t="shared" si="392"/>
        <v>0</v>
      </c>
      <c r="DR268" s="4">
        <f t="shared" si="393"/>
        <v>45372</v>
      </c>
      <c r="DS268" s="112">
        <f t="shared" ca="1" si="394"/>
        <v>0</v>
      </c>
      <c r="DT268" s="112">
        <f t="shared" si="395"/>
        <v>0</v>
      </c>
      <c r="DU268" s="4">
        <f t="shared" si="396"/>
        <v>45372</v>
      </c>
      <c r="DV268" s="112">
        <f t="shared" si="397"/>
        <v>0</v>
      </c>
      <c r="DW268" s="112">
        <f t="shared" si="398"/>
        <v>0</v>
      </c>
    </row>
    <row r="269" spans="8:127" x14ac:dyDescent="0.25">
      <c r="Q269" s="4">
        <f t="shared" si="345"/>
        <v>45373</v>
      </c>
      <c r="R269" s="24">
        <f t="shared" si="346"/>
        <v>0</v>
      </c>
      <c r="S269" s="25">
        <f t="shared" si="347"/>
        <v>0</v>
      </c>
      <c r="T269" s="24">
        <f t="shared" si="348"/>
        <v>0</v>
      </c>
      <c r="U269" s="25">
        <f t="shared" si="349"/>
        <v>0</v>
      </c>
      <c r="V269" s="24">
        <f t="shared" si="350"/>
        <v>0</v>
      </c>
      <c r="W269" s="25">
        <f t="shared" si="351"/>
        <v>0</v>
      </c>
      <c r="X269" s="24">
        <f t="shared" si="352"/>
        <v>0</v>
      </c>
      <c r="Y269" s="26">
        <f t="shared" si="353"/>
        <v>0</v>
      </c>
      <c r="Z269" s="27">
        <f t="shared" si="354"/>
        <v>0</v>
      </c>
      <c r="AA269" s="28">
        <f t="shared" si="355"/>
        <v>45373</v>
      </c>
      <c r="AB269" s="24">
        <f t="shared" si="356"/>
        <v>0</v>
      </c>
      <c r="AC269" s="25">
        <f t="shared" si="357"/>
        <v>0</v>
      </c>
      <c r="AD269" s="28">
        <f t="shared" si="358"/>
        <v>45373</v>
      </c>
      <c r="AE269" s="24">
        <f t="shared" si="359"/>
        <v>0</v>
      </c>
      <c r="AF269" s="25">
        <f t="shared" si="360"/>
        <v>0</v>
      </c>
      <c r="AG269" s="28">
        <f t="shared" si="361"/>
        <v>45373</v>
      </c>
      <c r="AH269" s="24">
        <f t="shared" si="362"/>
        <v>0</v>
      </c>
      <c r="AI269" s="25">
        <f t="shared" si="363"/>
        <v>0</v>
      </c>
      <c r="AJ269" s="28">
        <f t="shared" si="364"/>
        <v>45373</v>
      </c>
      <c r="AK269" s="24">
        <f t="shared" si="365"/>
        <v>0</v>
      </c>
      <c r="AL269" s="25">
        <f t="shared" si="366"/>
        <v>0</v>
      </c>
      <c r="AM269" s="29">
        <f t="shared" si="367"/>
        <v>0</v>
      </c>
      <c r="AN269" s="28">
        <f t="shared" si="368"/>
        <v>45373</v>
      </c>
      <c r="AO269" s="373">
        <f t="shared" si="337"/>
        <v>0</v>
      </c>
      <c r="AP269" s="374">
        <f t="shared" si="338"/>
        <v>0</v>
      </c>
      <c r="AQ269" s="27">
        <f t="shared" si="339"/>
        <v>0</v>
      </c>
      <c r="AR269" s="25">
        <f t="shared" si="340"/>
        <v>0</v>
      </c>
      <c r="AS269" s="25">
        <f t="shared" si="341"/>
        <v>0</v>
      </c>
      <c r="AT269" s="25">
        <f t="shared" si="342"/>
        <v>0</v>
      </c>
      <c r="AU269" s="29">
        <f t="shared" si="399"/>
        <v>0</v>
      </c>
      <c r="AV269" s="27">
        <f t="shared" si="369"/>
        <v>0</v>
      </c>
      <c r="AW269" s="27">
        <f t="shared" si="370"/>
        <v>0</v>
      </c>
      <c r="AX269" s="27">
        <f t="shared" si="371"/>
        <v>0</v>
      </c>
      <c r="AY269" s="27">
        <f t="shared" si="372"/>
        <v>0</v>
      </c>
      <c r="BH269" s="2">
        <f t="shared" si="373"/>
        <v>0</v>
      </c>
      <c r="BI269" s="298" t="str">
        <f t="shared" si="374"/>
        <v/>
      </c>
      <c r="BJ269" s="298" t="str">
        <f t="shared" si="343"/>
        <v/>
      </c>
      <c r="BQ269" s="4">
        <f t="shared" si="375"/>
        <v>45373</v>
      </c>
      <c r="BR269" s="112">
        <f t="shared" si="376"/>
        <v>0</v>
      </c>
      <c r="BS269" s="112">
        <f t="shared" si="377"/>
        <v>0</v>
      </c>
      <c r="BT269" s="112">
        <f t="shared" si="378"/>
        <v>0</v>
      </c>
      <c r="BU269" s="112">
        <f t="shared" si="379"/>
        <v>0</v>
      </c>
      <c r="BV269" s="112">
        <f t="shared" si="380"/>
        <v>0</v>
      </c>
      <c r="CI269" s="4">
        <f t="shared" si="381"/>
        <v>45373</v>
      </c>
      <c r="CJ269" s="50">
        <f ca="1">IF($BH269=0,IF($CO269="",CJ268+R269,IF('283'!$K$251=1,VLOOKUP($CO269,PerStBal,2)+R269,IF('283'!$K$253=1,(VLOOKUP($CO269,PerPortion,2)*VLOOKUP($CO269,PerStBal,6))+R269,GL!BS269))),0)</f>
        <v>0</v>
      </c>
      <c r="CK269" s="425">
        <f ca="1">IF($BH269=0,IF($CO269="",CK268+T269,IF('283'!$K$251=1,IF(mname2&lt;&gt;"",VLOOKUP($CO269,PerStBal,3)+T269,0),IF('283'!$K$253=1,(VLOOKUP($CO269,PerPortion,3)*VLOOKUP($CO269,PerStBal,6))+T269,GL!BT269))),0)</f>
        <v>0</v>
      </c>
      <c r="CL269" s="425">
        <f ca="1">IF($BH269=0,IF($CO269="",CL268+V269,IF('283'!$K$251=1,IF(mname3&lt;&gt;"",VLOOKUP($CO269,PerStBal,4)+V269,0),IF('283'!$K$253=1,(VLOOKUP($CO269,PerPortion,4)*VLOOKUP($CO269,PerStBal,6))+V269,GL!BU269))),0)</f>
        <v>0</v>
      </c>
      <c r="CM269" s="425">
        <f ca="1">IF($BH269=0,IF($CO269="",CM268+X269,IF('283'!$K$251=1,IF(mname4&lt;&gt;"",VLOOKUP($CO269,PerStBal,5)+X269,0),IF('283'!$K$253=1,(VLOOKUP($CO269,PerPortion,5)*VLOOKUP($CO269,PerStBal,6))+X269,GL!BV269))),0)</f>
        <v>0</v>
      </c>
      <c r="CN269" s="50">
        <f t="shared" ca="1" si="382"/>
        <v>0</v>
      </c>
      <c r="CO269" s="4" t="str">
        <f t="shared" ca="1" si="383"/>
        <v/>
      </c>
      <c r="CP269" s="377">
        <f t="shared" si="344"/>
        <v>0</v>
      </c>
      <c r="DI269" s="4">
        <f t="shared" si="384"/>
        <v>45373</v>
      </c>
      <c r="DJ269" s="112">
        <f t="shared" ca="1" si="385"/>
        <v>0</v>
      </c>
      <c r="DK269" s="112">
        <f t="shared" si="386"/>
        <v>0</v>
      </c>
      <c r="DL269" s="4">
        <f t="shared" si="387"/>
        <v>45373</v>
      </c>
      <c r="DM269" s="112">
        <f t="shared" ca="1" si="388"/>
        <v>0</v>
      </c>
      <c r="DN269" s="112">
        <f t="shared" si="389"/>
        <v>0</v>
      </c>
      <c r="DO269" s="4">
        <f t="shared" si="390"/>
        <v>45373</v>
      </c>
      <c r="DP269" s="112">
        <f t="shared" ca="1" si="391"/>
        <v>0</v>
      </c>
      <c r="DQ269" s="112">
        <f t="shared" si="392"/>
        <v>0</v>
      </c>
      <c r="DR269" s="4">
        <f t="shared" si="393"/>
        <v>45373</v>
      </c>
      <c r="DS269" s="112">
        <f t="shared" ca="1" si="394"/>
        <v>0</v>
      </c>
      <c r="DT269" s="112">
        <f t="shared" si="395"/>
        <v>0</v>
      </c>
      <c r="DU269" s="4">
        <f t="shared" si="396"/>
        <v>45373</v>
      </c>
      <c r="DV269" s="112">
        <f t="shared" si="397"/>
        <v>0</v>
      </c>
      <c r="DW269" s="112">
        <f t="shared" si="398"/>
        <v>0</v>
      </c>
    </row>
    <row r="270" spans="8:127" x14ac:dyDescent="0.25">
      <c r="Q270" s="4">
        <f t="shared" si="345"/>
        <v>45374</v>
      </c>
      <c r="R270" s="24">
        <f t="shared" si="346"/>
        <v>0</v>
      </c>
      <c r="S270" s="25">
        <f t="shared" si="347"/>
        <v>0</v>
      </c>
      <c r="T270" s="24">
        <f t="shared" si="348"/>
        <v>0</v>
      </c>
      <c r="U270" s="25">
        <f t="shared" si="349"/>
        <v>0</v>
      </c>
      <c r="V270" s="24">
        <f t="shared" si="350"/>
        <v>0</v>
      </c>
      <c r="W270" s="25">
        <f t="shared" si="351"/>
        <v>0</v>
      </c>
      <c r="X270" s="24">
        <f t="shared" si="352"/>
        <v>0</v>
      </c>
      <c r="Y270" s="26">
        <f t="shared" si="353"/>
        <v>0</v>
      </c>
      <c r="Z270" s="27">
        <f t="shared" si="354"/>
        <v>0</v>
      </c>
      <c r="AA270" s="28">
        <f t="shared" si="355"/>
        <v>45374</v>
      </c>
      <c r="AB270" s="24">
        <f t="shared" si="356"/>
        <v>0</v>
      </c>
      <c r="AC270" s="25">
        <f t="shared" si="357"/>
        <v>0</v>
      </c>
      <c r="AD270" s="28">
        <f t="shared" si="358"/>
        <v>45374</v>
      </c>
      <c r="AE270" s="24">
        <f t="shared" si="359"/>
        <v>0</v>
      </c>
      <c r="AF270" s="25">
        <f t="shared" si="360"/>
        <v>0</v>
      </c>
      <c r="AG270" s="28">
        <f t="shared" si="361"/>
        <v>45374</v>
      </c>
      <c r="AH270" s="24">
        <f t="shared" si="362"/>
        <v>0</v>
      </c>
      <c r="AI270" s="25">
        <f t="shared" si="363"/>
        <v>0</v>
      </c>
      <c r="AJ270" s="28">
        <f t="shared" si="364"/>
        <v>45374</v>
      </c>
      <c r="AK270" s="24">
        <f t="shared" si="365"/>
        <v>0</v>
      </c>
      <c r="AL270" s="25">
        <f t="shared" si="366"/>
        <v>0</v>
      </c>
      <c r="AM270" s="29">
        <f t="shared" si="367"/>
        <v>0</v>
      </c>
      <c r="AN270" s="28">
        <f t="shared" si="368"/>
        <v>45374</v>
      </c>
      <c r="AO270" s="373">
        <f t="shared" si="337"/>
        <v>0</v>
      </c>
      <c r="AP270" s="374">
        <f t="shared" si="338"/>
        <v>0</v>
      </c>
      <c r="AQ270" s="27">
        <f t="shared" si="339"/>
        <v>0</v>
      </c>
      <c r="AR270" s="25">
        <f t="shared" si="340"/>
        <v>0</v>
      </c>
      <c r="AS270" s="25">
        <f t="shared" si="341"/>
        <v>0</v>
      </c>
      <c r="AT270" s="25">
        <f t="shared" si="342"/>
        <v>0</v>
      </c>
      <c r="AU270" s="29">
        <f t="shared" si="399"/>
        <v>0</v>
      </c>
      <c r="AV270" s="27">
        <f t="shared" si="369"/>
        <v>0</v>
      </c>
      <c r="AW270" s="27">
        <f t="shared" si="370"/>
        <v>0</v>
      </c>
      <c r="AX270" s="27">
        <f t="shared" si="371"/>
        <v>0</v>
      </c>
      <c r="AY270" s="27">
        <f t="shared" si="372"/>
        <v>0</v>
      </c>
      <c r="BH270" s="2">
        <f t="shared" si="373"/>
        <v>0</v>
      </c>
      <c r="BI270" s="298" t="str">
        <f t="shared" si="374"/>
        <v/>
      </c>
      <c r="BJ270" s="298" t="str">
        <f t="shared" si="343"/>
        <v/>
      </c>
      <c r="BQ270" s="4">
        <f t="shared" si="375"/>
        <v>45374</v>
      </c>
      <c r="BR270" s="112">
        <f t="shared" si="376"/>
        <v>0</v>
      </c>
      <c r="BS270" s="112">
        <f t="shared" si="377"/>
        <v>0</v>
      </c>
      <c r="BT270" s="112">
        <f t="shared" si="378"/>
        <v>0</v>
      </c>
      <c r="BU270" s="112">
        <f t="shared" si="379"/>
        <v>0</v>
      </c>
      <c r="BV270" s="112">
        <f t="shared" si="380"/>
        <v>0</v>
      </c>
      <c r="CI270" s="4">
        <f t="shared" si="381"/>
        <v>45374</v>
      </c>
      <c r="CJ270" s="50">
        <f ca="1">IF($BH270=0,IF($CO270="",CJ269+R270,IF('283'!$K$251=1,VLOOKUP($CO270,PerStBal,2)+R270,IF('283'!$K$253=1,(VLOOKUP($CO270,PerPortion,2)*VLOOKUP($CO270,PerStBal,6))+R270,GL!BS270))),0)</f>
        <v>0</v>
      </c>
      <c r="CK270" s="425">
        <f ca="1">IF($BH270=0,IF($CO270="",CK269+T270,IF('283'!$K$251=1,IF(mname2&lt;&gt;"",VLOOKUP($CO270,PerStBal,3)+T270,0),IF('283'!$K$253=1,(VLOOKUP($CO270,PerPortion,3)*VLOOKUP($CO270,PerStBal,6))+T270,GL!BT270))),0)</f>
        <v>0</v>
      </c>
      <c r="CL270" s="425">
        <f ca="1">IF($BH270=0,IF($CO270="",CL269+V270,IF('283'!$K$251=1,IF(mname3&lt;&gt;"",VLOOKUP($CO270,PerStBal,4)+V270,0),IF('283'!$K$253=1,(VLOOKUP($CO270,PerPortion,4)*VLOOKUP($CO270,PerStBal,6))+V270,GL!BU270))),0)</f>
        <v>0</v>
      </c>
      <c r="CM270" s="425">
        <f ca="1">IF($BH270=0,IF($CO270="",CM269+X270,IF('283'!$K$251=1,IF(mname4&lt;&gt;"",VLOOKUP($CO270,PerStBal,5)+X270,0),IF('283'!$K$253=1,(VLOOKUP($CO270,PerPortion,5)*VLOOKUP($CO270,PerStBal,6))+X270,GL!BV270))),0)</f>
        <v>0</v>
      </c>
      <c r="CN270" s="50">
        <f t="shared" ca="1" si="382"/>
        <v>0</v>
      </c>
      <c r="CO270" s="4" t="str">
        <f t="shared" ca="1" si="383"/>
        <v/>
      </c>
      <c r="CP270" s="377">
        <f t="shared" si="344"/>
        <v>0</v>
      </c>
      <c r="DI270" s="4">
        <f t="shared" si="384"/>
        <v>45374</v>
      </c>
      <c r="DJ270" s="112">
        <f t="shared" ca="1" si="385"/>
        <v>0</v>
      </c>
      <c r="DK270" s="112">
        <f t="shared" si="386"/>
        <v>0</v>
      </c>
      <c r="DL270" s="4">
        <f t="shared" si="387"/>
        <v>45374</v>
      </c>
      <c r="DM270" s="112">
        <f t="shared" ca="1" si="388"/>
        <v>0</v>
      </c>
      <c r="DN270" s="112">
        <f t="shared" si="389"/>
        <v>0</v>
      </c>
      <c r="DO270" s="4">
        <f t="shared" si="390"/>
        <v>45374</v>
      </c>
      <c r="DP270" s="112">
        <f t="shared" ca="1" si="391"/>
        <v>0</v>
      </c>
      <c r="DQ270" s="112">
        <f t="shared" si="392"/>
        <v>0</v>
      </c>
      <c r="DR270" s="4">
        <f t="shared" si="393"/>
        <v>45374</v>
      </c>
      <c r="DS270" s="112">
        <f t="shared" ca="1" si="394"/>
        <v>0</v>
      </c>
      <c r="DT270" s="112">
        <f t="shared" si="395"/>
        <v>0</v>
      </c>
      <c r="DU270" s="4">
        <f t="shared" si="396"/>
        <v>45374</v>
      </c>
      <c r="DV270" s="112">
        <f t="shared" si="397"/>
        <v>0</v>
      </c>
      <c r="DW270" s="112">
        <f t="shared" si="398"/>
        <v>0</v>
      </c>
    </row>
    <row r="271" spans="8:127" x14ac:dyDescent="0.25">
      <c r="Q271" s="4">
        <f t="shared" si="345"/>
        <v>45375</v>
      </c>
      <c r="R271" s="24">
        <f t="shared" si="346"/>
        <v>0</v>
      </c>
      <c r="S271" s="25">
        <f t="shared" si="347"/>
        <v>0</v>
      </c>
      <c r="T271" s="24">
        <f t="shared" si="348"/>
        <v>0</v>
      </c>
      <c r="U271" s="25">
        <f t="shared" si="349"/>
        <v>0</v>
      </c>
      <c r="V271" s="24">
        <f t="shared" si="350"/>
        <v>0</v>
      </c>
      <c r="W271" s="25">
        <f t="shared" si="351"/>
        <v>0</v>
      </c>
      <c r="X271" s="24">
        <f t="shared" si="352"/>
        <v>0</v>
      </c>
      <c r="Y271" s="26">
        <f t="shared" si="353"/>
        <v>0</v>
      </c>
      <c r="Z271" s="27">
        <f t="shared" si="354"/>
        <v>0</v>
      </c>
      <c r="AA271" s="28">
        <f t="shared" si="355"/>
        <v>45375</v>
      </c>
      <c r="AB271" s="24">
        <f t="shared" si="356"/>
        <v>0</v>
      </c>
      <c r="AC271" s="25">
        <f t="shared" si="357"/>
        <v>0</v>
      </c>
      <c r="AD271" s="28">
        <f t="shared" si="358"/>
        <v>45375</v>
      </c>
      <c r="AE271" s="24">
        <f t="shared" si="359"/>
        <v>0</v>
      </c>
      <c r="AF271" s="25">
        <f t="shared" si="360"/>
        <v>0</v>
      </c>
      <c r="AG271" s="28">
        <f t="shared" si="361"/>
        <v>45375</v>
      </c>
      <c r="AH271" s="24">
        <f t="shared" si="362"/>
        <v>0</v>
      </c>
      <c r="AI271" s="25">
        <f t="shared" si="363"/>
        <v>0</v>
      </c>
      <c r="AJ271" s="28">
        <f t="shared" si="364"/>
        <v>45375</v>
      </c>
      <c r="AK271" s="24">
        <f t="shared" si="365"/>
        <v>0</v>
      </c>
      <c r="AL271" s="25">
        <f t="shared" si="366"/>
        <v>0</v>
      </c>
      <c r="AM271" s="29">
        <f t="shared" si="367"/>
        <v>0</v>
      </c>
      <c r="AN271" s="28">
        <f t="shared" si="368"/>
        <v>45375</v>
      </c>
      <c r="AO271" s="373">
        <f t="shared" si="337"/>
        <v>0</v>
      </c>
      <c r="AP271" s="374">
        <f t="shared" si="338"/>
        <v>0</v>
      </c>
      <c r="AQ271" s="27">
        <f t="shared" si="339"/>
        <v>0</v>
      </c>
      <c r="AR271" s="25">
        <f t="shared" si="340"/>
        <v>0</v>
      </c>
      <c r="AS271" s="25">
        <f t="shared" si="341"/>
        <v>0</v>
      </c>
      <c r="AT271" s="25">
        <f t="shared" si="342"/>
        <v>0</v>
      </c>
      <c r="AU271" s="29">
        <f t="shared" si="399"/>
        <v>0</v>
      </c>
      <c r="AV271" s="27">
        <f t="shared" si="369"/>
        <v>0</v>
      </c>
      <c r="AW271" s="27">
        <f t="shared" si="370"/>
        <v>0</v>
      </c>
      <c r="AX271" s="27">
        <f t="shared" si="371"/>
        <v>0</v>
      </c>
      <c r="AY271" s="27">
        <f t="shared" si="372"/>
        <v>0</v>
      </c>
      <c r="BH271" s="2">
        <f t="shared" si="373"/>
        <v>0</v>
      </c>
      <c r="BI271" s="298" t="str">
        <f t="shared" si="374"/>
        <v/>
      </c>
      <c r="BJ271" s="298" t="str">
        <f t="shared" si="343"/>
        <v/>
      </c>
      <c r="BQ271" s="4">
        <f t="shared" si="375"/>
        <v>45375</v>
      </c>
      <c r="BR271" s="112">
        <f t="shared" si="376"/>
        <v>0</v>
      </c>
      <c r="BS271" s="112">
        <f t="shared" si="377"/>
        <v>0</v>
      </c>
      <c r="BT271" s="112">
        <f t="shared" si="378"/>
        <v>0</v>
      </c>
      <c r="BU271" s="112">
        <f t="shared" si="379"/>
        <v>0</v>
      </c>
      <c r="BV271" s="112">
        <f t="shared" si="380"/>
        <v>0</v>
      </c>
      <c r="CI271" s="4">
        <f t="shared" si="381"/>
        <v>45375</v>
      </c>
      <c r="CJ271" s="50">
        <f ca="1">IF($BH271=0,IF($CO271="",CJ270+R271,IF('283'!$K$251=1,VLOOKUP($CO271,PerStBal,2)+R271,IF('283'!$K$253=1,(VLOOKUP($CO271,PerPortion,2)*VLOOKUP($CO271,PerStBal,6))+R271,GL!BS271))),0)</f>
        <v>0</v>
      </c>
      <c r="CK271" s="425">
        <f ca="1">IF($BH271=0,IF($CO271="",CK270+T271,IF('283'!$K$251=1,IF(mname2&lt;&gt;"",VLOOKUP($CO271,PerStBal,3)+T271,0),IF('283'!$K$253=1,(VLOOKUP($CO271,PerPortion,3)*VLOOKUP($CO271,PerStBal,6))+T271,GL!BT271))),0)</f>
        <v>0</v>
      </c>
      <c r="CL271" s="425">
        <f ca="1">IF($BH271=0,IF($CO271="",CL270+V271,IF('283'!$K$251=1,IF(mname3&lt;&gt;"",VLOOKUP($CO271,PerStBal,4)+V271,0),IF('283'!$K$253=1,(VLOOKUP($CO271,PerPortion,4)*VLOOKUP($CO271,PerStBal,6))+V271,GL!BU271))),0)</f>
        <v>0</v>
      </c>
      <c r="CM271" s="425">
        <f ca="1">IF($BH271=0,IF($CO271="",CM270+X271,IF('283'!$K$251=1,IF(mname4&lt;&gt;"",VLOOKUP($CO271,PerStBal,5)+X271,0),IF('283'!$K$253=1,(VLOOKUP($CO271,PerPortion,5)*VLOOKUP($CO271,PerStBal,6))+X271,GL!BV271))),0)</f>
        <v>0</v>
      </c>
      <c r="CN271" s="50">
        <f t="shared" ca="1" si="382"/>
        <v>0</v>
      </c>
      <c r="CO271" s="4" t="str">
        <f t="shared" ca="1" si="383"/>
        <v/>
      </c>
      <c r="CP271" s="377">
        <f t="shared" si="344"/>
        <v>0</v>
      </c>
      <c r="DI271" s="4">
        <f t="shared" si="384"/>
        <v>45375</v>
      </c>
      <c r="DJ271" s="112">
        <f t="shared" ca="1" si="385"/>
        <v>0</v>
      </c>
      <c r="DK271" s="112">
        <f t="shared" si="386"/>
        <v>0</v>
      </c>
      <c r="DL271" s="4">
        <f t="shared" si="387"/>
        <v>45375</v>
      </c>
      <c r="DM271" s="112">
        <f t="shared" ca="1" si="388"/>
        <v>0</v>
      </c>
      <c r="DN271" s="112">
        <f t="shared" si="389"/>
        <v>0</v>
      </c>
      <c r="DO271" s="4">
        <f t="shared" si="390"/>
        <v>45375</v>
      </c>
      <c r="DP271" s="112">
        <f t="shared" ca="1" si="391"/>
        <v>0</v>
      </c>
      <c r="DQ271" s="112">
        <f t="shared" si="392"/>
        <v>0</v>
      </c>
      <c r="DR271" s="4">
        <f t="shared" si="393"/>
        <v>45375</v>
      </c>
      <c r="DS271" s="112">
        <f t="shared" ca="1" si="394"/>
        <v>0</v>
      </c>
      <c r="DT271" s="112">
        <f t="shared" si="395"/>
        <v>0</v>
      </c>
      <c r="DU271" s="4">
        <f t="shared" si="396"/>
        <v>45375</v>
      </c>
      <c r="DV271" s="112">
        <f t="shared" si="397"/>
        <v>0</v>
      </c>
      <c r="DW271" s="112">
        <f t="shared" si="398"/>
        <v>0</v>
      </c>
    </row>
    <row r="272" spans="8:127" x14ac:dyDescent="0.25">
      <c r="Q272" s="4">
        <f t="shared" si="345"/>
        <v>45376</v>
      </c>
      <c r="R272" s="24">
        <f t="shared" si="346"/>
        <v>0</v>
      </c>
      <c r="S272" s="25">
        <f t="shared" si="347"/>
        <v>0</v>
      </c>
      <c r="T272" s="24">
        <f t="shared" si="348"/>
        <v>0</v>
      </c>
      <c r="U272" s="25">
        <f t="shared" si="349"/>
        <v>0</v>
      </c>
      <c r="V272" s="24">
        <f t="shared" si="350"/>
        <v>0</v>
      </c>
      <c r="W272" s="25">
        <f t="shared" si="351"/>
        <v>0</v>
      </c>
      <c r="X272" s="24">
        <f t="shared" si="352"/>
        <v>0</v>
      </c>
      <c r="Y272" s="26">
        <f t="shared" si="353"/>
        <v>0</v>
      </c>
      <c r="Z272" s="27">
        <f t="shared" si="354"/>
        <v>0</v>
      </c>
      <c r="AA272" s="28">
        <f t="shared" si="355"/>
        <v>45376</v>
      </c>
      <c r="AB272" s="24">
        <f t="shared" si="356"/>
        <v>0</v>
      </c>
      <c r="AC272" s="25">
        <f t="shared" si="357"/>
        <v>0</v>
      </c>
      <c r="AD272" s="28">
        <f t="shared" si="358"/>
        <v>45376</v>
      </c>
      <c r="AE272" s="24">
        <f t="shared" si="359"/>
        <v>0</v>
      </c>
      <c r="AF272" s="25">
        <f t="shared" si="360"/>
        <v>0</v>
      </c>
      <c r="AG272" s="28">
        <f t="shared" si="361"/>
        <v>45376</v>
      </c>
      <c r="AH272" s="24">
        <f t="shared" si="362"/>
        <v>0</v>
      </c>
      <c r="AI272" s="25">
        <f t="shared" si="363"/>
        <v>0</v>
      </c>
      <c r="AJ272" s="28">
        <f t="shared" si="364"/>
        <v>45376</v>
      </c>
      <c r="AK272" s="24">
        <f t="shared" si="365"/>
        <v>0</v>
      </c>
      <c r="AL272" s="25">
        <f t="shared" si="366"/>
        <v>0</v>
      </c>
      <c r="AM272" s="29">
        <f t="shared" si="367"/>
        <v>0</v>
      </c>
      <c r="AN272" s="28">
        <f t="shared" si="368"/>
        <v>45376</v>
      </c>
      <c r="AO272" s="373">
        <f t="shared" si="337"/>
        <v>0</v>
      </c>
      <c r="AP272" s="374">
        <f t="shared" si="338"/>
        <v>0</v>
      </c>
      <c r="AQ272" s="27">
        <f t="shared" si="339"/>
        <v>0</v>
      </c>
      <c r="AR272" s="25">
        <f t="shared" si="340"/>
        <v>0</v>
      </c>
      <c r="AS272" s="25">
        <f t="shared" si="341"/>
        <v>0</v>
      </c>
      <c r="AT272" s="25">
        <f t="shared" si="342"/>
        <v>0</v>
      </c>
      <c r="AU272" s="29">
        <f t="shared" si="399"/>
        <v>0</v>
      </c>
      <c r="AV272" s="27">
        <f t="shared" si="369"/>
        <v>0</v>
      </c>
      <c r="AW272" s="27">
        <f t="shared" si="370"/>
        <v>0</v>
      </c>
      <c r="AX272" s="27">
        <f t="shared" si="371"/>
        <v>0</v>
      </c>
      <c r="AY272" s="27">
        <f t="shared" si="372"/>
        <v>0</v>
      </c>
      <c r="BH272" s="2">
        <f t="shared" si="373"/>
        <v>0</v>
      </c>
      <c r="BI272" s="298" t="str">
        <f t="shared" si="374"/>
        <v/>
      </c>
      <c r="BJ272" s="298" t="str">
        <f t="shared" si="343"/>
        <v/>
      </c>
      <c r="BQ272" s="4">
        <f t="shared" si="375"/>
        <v>45376</v>
      </c>
      <c r="BR272" s="112">
        <f t="shared" si="376"/>
        <v>0</v>
      </c>
      <c r="BS272" s="112">
        <f t="shared" si="377"/>
        <v>0</v>
      </c>
      <c r="BT272" s="112">
        <f t="shared" si="378"/>
        <v>0</v>
      </c>
      <c r="BU272" s="112">
        <f t="shared" si="379"/>
        <v>0</v>
      </c>
      <c r="BV272" s="112">
        <f t="shared" si="380"/>
        <v>0</v>
      </c>
      <c r="CI272" s="4">
        <f t="shared" si="381"/>
        <v>45376</v>
      </c>
      <c r="CJ272" s="50">
        <f ca="1">IF($BH272=0,IF($CO272="",CJ271+R272,IF('283'!$K$251=1,VLOOKUP($CO272,PerStBal,2)+R272,IF('283'!$K$253=1,(VLOOKUP($CO272,PerPortion,2)*VLOOKUP($CO272,PerStBal,6))+R272,GL!BS272))),0)</f>
        <v>0</v>
      </c>
      <c r="CK272" s="425">
        <f ca="1">IF($BH272=0,IF($CO272="",CK271+T272,IF('283'!$K$251=1,IF(mname2&lt;&gt;"",VLOOKUP($CO272,PerStBal,3)+T272,0),IF('283'!$K$253=1,(VLOOKUP($CO272,PerPortion,3)*VLOOKUP($CO272,PerStBal,6))+T272,GL!BT272))),0)</f>
        <v>0</v>
      </c>
      <c r="CL272" s="425">
        <f ca="1">IF($BH272=0,IF($CO272="",CL271+V272,IF('283'!$K$251=1,IF(mname3&lt;&gt;"",VLOOKUP($CO272,PerStBal,4)+V272,0),IF('283'!$K$253=1,(VLOOKUP($CO272,PerPortion,4)*VLOOKUP($CO272,PerStBal,6))+V272,GL!BU272))),0)</f>
        <v>0</v>
      </c>
      <c r="CM272" s="425">
        <f ca="1">IF($BH272=0,IF($CO272="",CM271+X272,IF('283'!$K$251=1,IF(mname4&lt;&gt;"",VLOOKUP($CO272,PerStBal,5)+X272,0),IF('283'!$K$253=1,(VLOOKUP($CO272,PerPortion,5)*VLOOKUP($CO272,PerStBal,6))+X272,GL!BV272))),0)</f>
        <v>0</v>
      </c>
      <c r="CN272" s="50">
        <f t="shared" ca="1" si="382"/>
        <v>0</v>
      </c>
      <c r="CO272" s="4" t="str">
        <f t="shared" ca="1" si="383"/>
        <v/>
      </c>
      <c r="CP272" s="377">
        <f t="shared" si="344"/>
        <v>0</v>
      </c>
      <c r="DI272" s="4">
        <f t="shared" si="384"/>
        <v>45376</v>
      </c>
      <c r="DJ272" s="112">
        <f t="shared" ca="1" si="385"/>
        <v>0</v>
      </c>
      <c r="DK272" s="112">
        <f t="shared" si="386"/>
        <v>0</v>
      </c>
      <c r="DL272" s="4">
        <f t="shared" si="387"/>
        <v>45376</v>
      </c>
      <c r="DM272" s="112">
        <f t="shared" ca="1" si="388"/>
        <v>0</v>
      </c>
      <c r="DN272" s="112">
        <f t="shared" si="389"/>
        <v>0</v>
      </c>
      <c r="DO272" s="4">
        <f t="shared" si="390"/>
        <v>45376</v>
      </c>
      <c r="DP272" s="112">
        <f t="shared" ca="1" si="391"/>
        <v>0</v>
      </c>
      <c r="DQ272" s="112">
        <f t="shared" si="392"/>
        <v>0</v>
      </c>
      <c r="DR272" s="4">
        <f t="shared" si="393"/>
        <v>45376</v>
      </c>
      <c r="DS272" s="112">
        <f t="shared" ca="1" si="394"/>
        <v>0</v>
      </c>
      <c r="DT272" s="112">
        <f t="shared" si="395"/>
        <v>0</v>
      </c>
      <c r="DU272" s="4">
        <f t="shared" si="396"/>
        <v>45376</v>
      </c>
      <c r="DV272" s="112">
        <f t="shared" si="397"/>
        <v>0</v>
      </c>
      <c r="DW272" s="112">
        <f t="shared" si="398"/>
        <v>0</v>
      </c>
    </row>
    <row r="273" spans="17:127" x14ac:dyDescent="0.25">
      <c r="Q273" s="4">
        <f t="shared" si="345"/>
        <v>45377</v>
      </c>
      <c r="R273" s="24">
        <f t="shared" si="346"/>
        <v>0</v>
      </c>
      <c r="S273" s="25">
        <f t="shared" si="347"/>
        <v>0</v>
      </c>
      <c r="T273" s="24">
        <f t="shared" si="348"/>
        <v>0</v>
      </c>
      <c r="U273" s="25">
        <f t="shared" si="349"/>
        <v>0</v>
      </c>
      <c r="V273" s="24">
        <f t="shared" si="350"/>
        <v>0</v>
      </c>
      <c r="W273" s="25">
        <f t="shared" si="351"/>
        <v>0</v>
      </c>
      <c r="X273" s="24">
        <f t="shared" si="352"/>
        <v>0</v>
      </c>
      <c r="Y273" s="26">
        <f t="shared" si="353"/>
        <v>0</v>
      </c>
      <c r="Z273" s="27">
        <f t="shared" si="354"/>
        <v>0</v>
      </c>
      <c r="AA273" s="28">
        <f t="shared" si="355"/>
        <v>45377</v>
      </c>
      <c r="AB273" s="24">
        <f t="shared" si="356"/>
        <v>0</v>
      </c>
      <c r="AC273" s="25">
        <f t="shared" si="357"/>
        <v>0</v>
      </c>
      <c r="AD273" s="28">
        <f t="shared" si="358"/>
        <v>45377</v>
      </c>
      <c r="AE273" s="24">
        <f t="shared" si="359"/>
        <v>0</v>
      </c>
      <c r="AF273" s="25">
        <f t="shared" si="360"/>
        <v>0</v>
      </c>
      <c r="AG273" s="28">
        <f t="shared" si="361"/>
        <v>45377</v>
      </c>
      <c r="AH273" s="24">
        <f t="shared" si="362"/>
        <v>0</v>
      </c>
      <c r="AI273" s="25">
        <f t="shared" si="363"/>
        <v>0</v>
      </c>
      <c r="AJ273" s="28">
        <f t="shared" si="364"/>
        <v>45377</v>
      </c>
      <c r="AK273" s="24">
        <f t="shared" si="365"/>
        <v>0</v>
      </c>
      <c r="AL273" s="25">
        <f t="shared" si="366"/>
        <v>0</v>
      </c>
      <c r="AM273" s="29">
        <f t="shared" si="367"/>
        <v>0</v>
      </c>
      <c r="AN273" s="28">
        <f t="shared" si="368"/>
        <v>45377</v>
      </c>
      <c r="AO273" s="373">
        <f t="shared" si="337"/>
        <v>0</v>
      </c>
      <c r="AP273" s="374">
        <f t="shared" si="338"/>
        <v>0</v>
      </c>
      <c r="AQ273" s="27">
        <f t="shared" si="339"/>
        <v>0</v>
      </c>
      <c r="AR273" s="25">
        <f t="shared" si="340"/>
        <v>0</v>
      </c>
      <c r="AS273" s="25">
        <f t="shared" si="341"/>
        <v>0</v>
      </c>
      <c r="AT273" s="25">
        <f t="shared" si="342"/>
        <v>0</v>
      </c>
      <c r="AU273" s="29">
        <f t="shared" si="399"/>
        <v>0</v>
      </c>
      <c r="AV273" s="27">
        <f t="shared" si="369"/>
        <v>0</v>
      </c>
      <c r="AW273" s="27">
        <f t="shared" si="370"/>
        <v>0</v>
      </c>
      <c r="AX273" s="27">
        <f t="shared" si="371"/>
        <v>0</v>
      </c>
      <c r="AY273" s="27">
        <f t="shared" si="372"/>
        <v>0</v>
      </c>
      <c r="BH273" s="2">
        <f t="shared" si="373"/>
        <v>0</v>
      </c>
      <c r="BI273" s="298" t="str">
        <f t="shared" si="374"/>
        <v/>
      </c>
      <c r="BJ273" s="298" t="str">
        <f t="shared" si="343"/>
        <v/>
      </c>
      <c r="BQ273" s="4">
        <f t="shared" si="375"/>
        <v>45377</v>
      </c>
      <c r="BR273" s="112">
        <f t="shared" si="376"/>
        <v>0</v>
      </c>
      <c r="BS273" s="112">
        <f t="shared" si="377"/>
        <v>0</v>
      </c>
      <c r="BT273" s="112">
        <f t="shared" si="378"/>
        <v>0</v>
      </c>
      <c r="BU273" s="112">
        <f t="shared" si="379"/>
        <v>0</v>
      </c>
      <c r="BV273" s="112">
        <f t="shared" si="380"/>
        <v>0</v>
      </c>
      <c r="CI273" s="4">
        <f t="shared" si="381"/>
        <v>45377</v>
      </c>
      <c r="CJ273" s="50">
        <f ca="1">IF($BH273=0,IF($CO273="",CJ272+R273,IF('283'!$K$251=1,VLOOKUP($CO273,PerStBal,2)+R273,IF('283'!$K$253=1,(VLOOKUP($CO273,PerPortion,2)*VLOOKUP($CO273,PerStBal,6))+R273,GL!BS273))),0)</f>
        <v>0</v>
      </c>
      <c r="CK273" s="425">
        <f ca="1">IF($BH273=0,IF($CO273="",CK272+T273,IF('283'!$K$251=1,IF(mname2&lt;&gt;"",VLOOKUP($CO273,PerStBal,3)+T273,0),IF('283'!$K$253=1,(VLOOKUP($CO273,PerPortion,3)*VLOOKUP($CO273,PerStBal,6))+T273,GL!BT273))),0)</f>
        <v>0</v>
      </c>
      <c r="CL273" s="425">
        <f ca="1">IF($BH273=0,IF($CO273="",CL272+V273,IF('283'!$K$251=1,IF(mname3&lt;&gt;"",VLOOKUP($CO273,PerStBal,4)+V273,0),IF('283'!$K$253=1,(VLOOKUP($CO273,PerPortion,4)*VLOOKUP($CO273,PerStBal,6))+V273,GL!BU273))),0)</f>
        <v>0</v>
      </c>
      <c r="CM273" s="425">
        <f ca="1">IF($BH273=0,IF($CO273="",CM272+X273,IF('283'!$K$251=1,IF(mname4&lt;&gt;"",VLOOKUP($CO273,PerStBal,5)+X273,0),IF('283'!$K$253=1,(VLOOKUP($CO273,PerPortion,5)*VLOOKUP($CO273,PerStBal,6))+X273,GL!BV273))),0)</f>
        <v>0</v>
      </c>
      <c r="CN273" s="50">
        <f t="shared" ca="1" si="382"/>
        <v>0</v>
      </c>
      <c r="CO273" s="4" t="str">
        <f t="shared" ca="1" si="383"/>
        <v/>
      </c>
      <c r="CP273" s="377">
        <f t="shared" si="344"/>
        <v>0</v>
      </c>
      <c r="DI273" s="4">
        <f t="shared" si="384"/>
        <v>45377</v>
      </c>
      <c r="DJ273" s="112">
        <f t="shared" ca="1" si="385"/>
        <v>0</v>
      </c>
      <c r="DK273" s="112">
        <f t="shared" si="386"/>
        <v>0</v>
      </c>
      <c r="DL273" s="4">
        <f t="shared" si="387"/>
        <v>45377</v>
      </c>
      <c r="DM273" s="112">
        <f t="shared" ca="1" si="388"/>
        <v>0</v>
      </c>
      <c r="DN273" s="112">
        <f t="shared" si="389"/>
        <v>0</v>
      </c>
      <c r="DO273" s="4">
        <f t="shared" si="390"/>
        <v>45377</v>
      </c>
      <c r="DP273" s="112">
        <f t="shared" ca="1" si="391"/>
        <v>0</v>
      </c>
      <c r="DQ273" s="112">
        <f t="shared" si="392"/>
        <v>0</v>
      </c>
      <c r="DR273" s="4">
        <f t="shared" si="393"/>
        <v>45377</v>
      </c>
      <c r="DS273" s="112">
        <f t="shared" ca="1" si="394"/>
        <v>0</v>
      </c>
      <c r="DT273" s="112">
        <f t="shared" si="395"/>
        <v>0</v>
      </c>
      <c r="DU273" s="4">
        <f t="shared" si="396"/>
        <v>45377</v>
      </c>
      <c r="DV273" s="112">
        <f t="shared" si="397"/>
        <v>0</v>
      </c>
      <c r="DW273" s="112">
        <f t="shared" si="398"/>
        <v>0</v>
      </c>
    </row>
    <row r="274" spans="17:127" x14ac:dyDescent="0.25">
      <c r="Q274" s="4">
        <f t="shared" si="345"/>
        <v>45378</v>
      </c>
      <c r="R274" s="24">
        <f t="shared" si="346"/>
        <v>0</v>
      </c>
      <c r="S274" s="25">
        <f t="shared" si="347"/>
        <v>0</v>
      </c>
      <c r="T274" s="24">
        <f t="shared" si="348"/>
        <v>0</v>
      </c>
      <c r="U274" s="25">
        <f t="shared" si="349"/>
        <v>0</v>
      </c>
      <c r="V274" s="24">
        <f t="shared" si="350"/>
        <v>0</v>
      </c>
      <c r="W274" s="25">
        <f t="shared" si="351"/>
        <v>0</v>
      </c>
      <c r="X274" s="24">
        <f t="shared" si="352"/>
        <v>0</v>
      </c>
      <c r="Y274" s="26">
        <f t="shared" si="353"/>
        <v>0</v>
      </c>
      <c r="Z274" s="27">
        <f t="shared" si="354"/>
        <v>0</v>
      </c>
      <c r="AA274" s="28">
        <f t="shared" si="355"/>
        <v>45378</v>
      </c>
      <c r="AB274" s="24">
        <f t="shared" si="356"/>
        <v>0</v>
      </c>
      <c r="AC274" s="25">
        <f t="shared" si="357"/>
        <v>0</v>
      </c>
      <c r="AD274" s="28">
        <f t="shared" si="358"/>
        <v>45378</v>
      </c>
      <c r="AE274" s="24">
        <f t="shared" si="359"/>
        <v>0</v>
      </c>
      <c r="AF274" s="25">
        <f t="shared" si="360"/>
        <v>0</v>
      </c>
      <c r="AG274" s="28">
        <f t="shared" si="361"/>
        <v>45378</v>
      </c>
      <c r="AH274" s="24">
        <f t="shared" si="362"/>
        <v>0</v>
      </c>
      <c r="AI274" s="25">
        <f t="shared" si="363"/>
        <v>0</v>
      </c>
      <c r="AJ274" s="28">
        <f t="shared" si="364"/>
        <v>45378</v>
      </c>
      <c r="AK274" s="24">
        <f t="shared" si="365"/>
        <v>0</v>
      </c>
      <c r="AL274" s="25">
        <f t="shared" si="366"/>
        <v>0</v>
      </c>
      <c r="AM274" s="29">
        <f t="shared" si="367"/>
        <v>0</v>
      </c>
      <c r="AN274" s="28">
        <f t="shared" si="368"/>
        <v>45378</v>
      </c>
      <c r="AO274" s="373">
        <f t="shared" si="337"/>
        <v>0</v>
      </c>
      <c r="AP274" s="374">
        <f t="shared" si="338"/>
        <v>0</v>
      </c>
      <c r="AQ274" s="27">
        <f t="shared" si="339"/>
        <v>0</v>
      </c>
      <c r="AR274" s="25">
        <f t="shared" si="340"/>
        <v>0</v>
      </c>
      <c r="AS274" s="25">
        <f t="shared" si="341"/>
        <v>0</v>
      </c>
      <c r="AT274" s="25">
        <f t="shared" si="342"/>
        <v>0</v>
      </c>
      <c r="AU274" s="29">
        <f t="shared" si="399"/>
        <v>0</v>
      </c>
      <c r="AV274" s="27">
        <f t="shared" si="369"/>
        <v>0</v>
      </c>
      <c r="AW274" s="27">
        <f t="shared" si="370"/>
        <v>0</v>
      </c>
      <c r="AX274" s="27">
        <f t="shared" si="371"/>
        <v>0</v>
      </c>
      <c r="AY274" s="27">
        <f t="shared" si="372"/>
        <v>0</v>
      </c>
      <c r="BH274" s="2">
        <f t="shared" si="373"/>
        <v>0</v>
      </c>
      <c r="BI274" s="298" t="str">
        <f t="shared" si="374"/>
        <v/>
      </c>
      <c r="BJ274" s="298" t="str">
        <f t="shared" si="343"/>
        <v/>
      </c>
      <c r="BQ274" s="4">
        <f t="shared" si="375"/>
        <v>45378</v>
      </c>
      <c r="BR274" s="112">
        <f t="shared" si="376"/>
        <v>0</v>
      </c>
      <c r="BS274" s="112">
        <f t="shared" si="377"/>
        <v>0</v>
      </c>
      <c r="BT274" s="112">
        <f t="shared" si="378"/>
        <v>0</v>
      </c>
      <c r="BU274" s="112">
        <f t="shared" si="379"/>
        <v>0</v>
      </c>
      <c r="BV274" s="112">
        <f t="shared" si="380"/>
        <v>0</v>
      </c>
      <c r="CI274" s="4">
        <f t="shared" si="381"/>
        <v>45378</v>
      </c>
      <c r="CJ274" s="50">
        <f ca="1">IF($BH274=0,IF($CO274="",CJ273+R274,IF('283'!$K$251=1,VLOOKUP($CO274,PerStBal,2)+R274,IF('283'!$K$253=1,(VLOOKUP($CO274,PerPortion,2)*VLOOKUP($CO274,PerStBal,6))+R274,GL!BS274))),0)</f>
        <v>0</v>
      </c>
      <c r="CK274" s="425">
        <f ca="1">IF($BH274=0,IF($CO274="",CK273+T274,IF('283'!$K$251=1,IF(mname2&lt;&gt;"",VLOOKUP($CO274,PerStBal,3)+T274,0),IF('283'!$K$253=1,(VLOOKUP($CO274,PerPortion,3)*VLOOKUP($CO274,PerStBal,6))+T274,GL!BT274))),0)</f>
        <v>0</v>
      </c>
      <c r="CL274" s="425">
        <f ca="1">IF($BH274=0,IF($CO274="",CL273+V274,IF('283'!$K$251=1,IF(mname3&lt;&gt;"",VLOOKUP($CO274,PerStBal,4)+V274,0),IF('283'!$K$253=1,(VLOOKUP($CO274,PerPortion,4)*VLOOKUP($CO274,PerStBal,6))+V274,GL!BU274))),0)</f>
        <v>0</v>
      </c>
      <c r="CM274" s="425">
        <f ca="1">IF($BH274=0,IF($CO274="",CM273+X274,IF('283'!$K$251=1,IF(mname4&lt;&gt;"",VLOOKUP($CO274,PerStBal,5)+X274,0),IF('283'!$K$253=1,(VLOOKUP($CO274,PerPortion,5)*VLOOKUP($CO274,PerStBal,6))+X274,GL!BV274))),0)</f>
        <v>0</v>
      </c>
      <c r="CN274" s="50">
        <f t="shared" ca="1" si="382"/>
        <v>0</v>
      </c>
      <c r="CO274" s="4" t="str">
        <f t="shared" ca="1" si="383"/>
        <v/>
      </c>
      <c r="CP274" s="377">
        <f t="shared" si="344"/>
        <v>0</v>
      </c>
      <c r="DI274" s="4">
        <f t="shared" si="384"/>
        <v>45378</v>
      </c>
      <c r="DJ274" s="112">
        <f t="shared" ca="1" si="385"/>
        <v>0</v>
      </c>
      <c r="DK274" s="112">
        <f t="shared" si="386"/>
        <v>0</v>
      </c>
      <c r="DL274" s="4">
        <f t="shared" si="387"/>
        <v>45378</v>
      </c>
      <c r="DM274" s="112">
        <f t="shared" ca="1" si="388"/>
        <v>0</v>
      </c>
      <c r="DN274" s="112">
        <f t="shared" si="389"/>
        <v>0</v>
      </c>
      <c r="DO274" s="4">
        <f t="shared" si="390"/>
        <v>45378</v>
      </c>
      <c r="DP274" s="112">
        <f t="shared" ca="1" si="391"/>
        <v>0</v>
      </c>
      <c r="DQ274" s="112">
        <f t="shared" si="392"/>
        <v>0</v>
      </c>
      <c r="DR274" s="4">
        <f t="shared" si="393"/>
        <v>45378</v>
      </c>
      <c r="DS274" s="112">
        <f t="shared" ca="1" si="394"/>
        <v>0</v>
      </c>
      <c r="DT274" s="112">
        <f t="shared" si="395"/>
        <v>0</v>
      </c>
      <c r="DU274" s="4">
        <f t="shared" si="396"/>
        <v>45378</v>
      </c>
      <c r="DV274" s="112">
        <f t="shared" si="397"/>
        <v>0</v>
      </c>
      <c r="DW274" s="112">
        <f t="shared" si="398"/>
        <v>0</v>
      </c>
    </row>
    <row r="275" spans="17:127" x14ac:dyDescent="0.25">
      <c r="Q275" s="4">
        <f t="shared" si="345"/>
        <v>45379</v>
      </c>
      <c r="R275" s="24">
        <f t="shared" si="346"/>
        <v>0</v>
      </c>
      <c r="S275" s="25">
        <f t="shared" si="347"/>
        <v>0</v>
      </c>
      <c r="T275" s="24">
        <f t="shared" si="348"/>
        <v>0</v>
      </c>
      <c r="U275" s="25">
        <f t="shared" si="349"/>
        <v>0</v>
      </c>
      <c r="V275" s="24">
        <f t="shared" si="350"/>
        <v>0</v>
      </c>
      <c r="W275" s="25">
        <f t="shared" si="351"/>
        <v>0</v>
      </c>
      <c r="X275" s="24">
        <f t="shared" si="352"/>
        <v>0</v>
      </c>
      <c r="Y275" s="26">
        <f t="shared" si="353"/>
        <v>0</v>
      </c>
      <c r="Z275" s="27">
        <f t="shared" si="354"/>
        <v>0</v>
      </c>
      <c r="AA275" s="28">
        <f t="shared" si="355"/>
        <v>45379</v>
      </c>
      <c r="AB275" s="24">
        <f t="shared" si="356"/>
        <v>0</v>
      </c>
      <c r="AC275" s="25">
        <f t="shared" si="357"/>
        <v>0</v>
      </c>
      <c r="AD275" s="28">
        <f t="shared" si="358"/>
        <v>45379</v>
      </c>
      <c r="AE275" s="24">
        <f t="shared" si="359"/>
        <v>0</v>
      </c>
      <c r="AF275" s="25">
        <f t="shared" si="360"/>
        <v>0</v>
      </c>
      <c r="AG275" s="28">
        <f t="shared" si="361"/>
        <v>45379</v>
      </c>
      <c r="AH275" s="24">
        <f t="shared" si="362"/>
        <v>0</v>
      </c>
      <c r="AI275" s="25">
        <f t="shared" si="363"/>
        <v>0</v>
      </c>
      <c r="AJ275" s="28">
        <f t="shared" si="364"/>
        <v>45379</v>
      </c>
      <c r="AK275" s="24">
        <f t="shared" si="365"/>
        <v>0</v>
      </c>
      <c r="AL275" s="25">
        <f t="shared" si="366"/>
        <v>0</v>
      </c>
      <c r="AM275" s="29">
        <f t="shared" si="367"/>
        <v>0</v>
      </c>
      <c r="AN275" s="28">
        <f t="shared" si="368"/>
        <v>45379</v>
      </c>
      <c r="AO275" s="373">
        <f t="shared" si="337"/>
        <v>0</v>
      </c>
      <c r="AP275" s="374">
        <f t="shared" si="338"/>
        <v>0</v>
      </c>
      <c r="AQ275" s="27">
        <f t="shared" si="339"/>
        <v>0</v>
      </c>
      <c r="AR275" s="25">
        <f t="shared" si="340"/>
        <v>0</v>
      </c>
      <c r="AS275" s="25">
        <f t="shared" si="341"/>
        <v>0</v>
      </c>
      <c r="AT275" s="25">
        <f t="shared" si="342"/>
        <v>0</v>
      </c>
      <c r="AU275" s="29">
        <f t="shared" si="399"/>
        <v>0</v>
      </c>
      <c r="AV275" s="27">
        <f t="shared" si="369"/>
        <v>0</v>
      </c>
      <c r="AW275" s="27">
        <f t="shared" si="370"/>
        <v>0</v>
      </c>
      <c r="AX275" s="27">
        <f t="shared" si="371"/>
        <v>0</v>
      </c>
      <c r="AY275" s="27">
        <f t="shared" si="372"/>
        <v>0</v>
      </c>
      <c r="BH275" s="2">
        <f t="shared" si="373"/>
        <v>0</v>
      </c>
      <c r="BI275" s="298" t="str">
        <f t="shared" si="374"/>
        <v/>
      </c>
      <c r="BJ275" s="298" t="str">
        <f t="shared" si="343"/>
        <v/>
      </c>
      <c r="BQ275" s="4">
        <f t="shared" si="375"/>
        <v>45379</v>
      </c>
      <c r="BR275" s="112">
        <f t="shared" si="376"/>
        <v>0</v>
      </c>
      <c r="BS275" s="112">
        <f t="shared" si="377"/>
        <v>0</v>
      </c>
      <c r="BT275" s="112">
        <f t="shared" si="378"/>
        <v>0</v>
      </c>
      <c r="BU275" s="112">
        <f t="shared" si="379"/>
        <v>0</v>
      </c>
      <c r="BV275" s="112">
        <f t="shared" si="380"/>
        <v>0</v>
      </c>
      <c r="CI275" s="4">
        <f t="shared" si="381"/>
        <v>45379</v>
      </c>
      <c r="CJ275" s="50">
        <f ca="1">IF($BH275=0,IF($CO275="",CJ274+R275,IF('283'!$K$251=1,VLOOKUP($CO275,PerStBal,2)+R275,IF('283'!$K$253=1,(VLOOKUP($CO275,PerPortion,2)*VLOOKUP($CO275,PerStBal,6))+R275,GL!BS275))),0)</f>
        <v>0</v>
      </c>
      <c r="CK275" s="425">
        <f ca="1">IF($BH275=0,IF($CO275="",CK274+T275,IF('283'!$K$251=1,IF(mname2&lt;&gt;"",VLOOKUP($CO275,PerStBal,3)+T275,0),IF('283'!$K$253=1,(VLOOKUP($CO275,PerPortion,3)*VLOOKUP($CO275,PerStBal,6))+T275,GL!BT275))),0)</f>
        <v>0</v>
      </c>
      <c r="CL275" s="425">
        <f ca="1">IF($BH275=0,IF($CO275="",CL274+V275,IF('283'!$K$251=1,IF(mname3&lt;&gt;"",VLOOKUP($CO275,PerStBal,4)+V275,0),IF('283'!$K$253=1,(VLOOKUP($CO275,PerPortion,4)*VLOOKUP($CO275,PerStBal,6))+V275,GL!BU275))),0)</f>
        <v>0</v>
      </c>
      <c r="CM275" s="425">
        <f ca="1">IF($BH275=0,IF($CO275="",CM274+X275,IF('283'!$K$251=1,IF(mname4&lt;&gt;"",VLOOKUP($CO275,PerStBal,5)+X275,0),IF('283'!$K$253=1,(VLOOKUP($CO275,PerPortion,5)*VLOOKUP($CO275,PerStBal,6))+X275,GL!BV275))),0)</f>
        <v>0</v>
      </c>
      <c r="CN275" s="50">
        <f t="shared" ca="1" si="382"/>
        <v>0</v>
      </c>
      <c r="CO275" s="4" t="str">
        <f t="shared" ca="1" si="383"/>
        <v/>
      </c>
      <c r="CP275" s="377">
        <f t="shared" si="344"/>
        <v>0</v>
      </c>
      <c r="DI275" s="4">
        <f t="shared" si="384"/>
        <v>45379</v>
      </c>
      <c r="DJ275" s="112">
        <f t="shared" ca="1" si="385"/>
        <v>0</v>
      </c>
      <c r="DK275" s="112">
        <f t="shared" si="386"/>
        <v>0</v>
      </c>
      <c r="DL275" s="4">
        <f t="shared" si="387"/>
        <v>45379</v>
      </c>
      <c r="DM275" s="112">
        <f t="shared" ca="1" si="388"/>
        <v>0</v>
      </c>
      <c r="DN275" s="112">
        <f t="shared" si="389"/>
        <v>0</v>
      </c>
      <c r="DO275" s="4">
        <f t="shared" si="390"/>
        <v>45379</v>
      </c>
      <c r="DP275" s="112">
        <f t="shared" ca="1" si="391"/>
        <v>0</v>
      </c>
      <c r="DQ275" s="112">
        <f t="shared" si="392"/>
        <v>0</v>
      </c>
      <c r="DR275" s="4">
        <f t="shared" si="393"/>
        <v>45379</v>
      </c>
      <c r="DS275" s="112">
        <f t="shared" ca="1" si="394"/>
        <v>0</v>
      </c>
      <c r="DT275" s="112">
        <f t="shared" si="395"/>
        <v>0</v>
      </c>
      <c r="DU275" s="4">
        <f t="shared" si="396"/>
        <v>45379</v>
      </c>
      <c r="DV275" s="112">
        <f t="shared" si="397"/>
        <v>0</v>
      </c>
      <c r="DW275" s="112">
        <f t="shared" si="398"/>
        <v>0</v>
      </c>
    </row>
    <row r="276" spans="17:127" x14ac:dyDescent="0.25">
      <c r="Q276" s="4">
        <f t="shared" si="345"/>
        <v>45380</v>
      </c>
      <c r="R276" s="24">
        <f t="shared" si="346"/>
        <v>0</v>
      </c>
      <c r="S276" s="25">
        <f t="shared" si="347"/>
        <v>0</v>
      </c>
      <c r="T276" s="24">
        <f t="shared" si="348"/>
        <v>0</v>
      </c>
      <c r="U276" s="25">
        <f t="shared" si="349"/>
        <v>0</v>
      </c>
      <c r="V276" s="24">
        <f t="shared" si="350"/>
        <v>0</v>
      </c>
      <c r="W276" s="25">
        <f t="shared" si="351"/>
        <v>0</v>
      </c>
      <c r="X276" s="24">
        <f t="shared" si="352"/>
        <v>0</v>
      </c>
      <c r="Y276" s="26">
        <f t="shared" si="353"/>
        <v>0</v>
      </c>
      <c r="Z276" s="27">
        <f t="shared" si="354"/>
        <v>0</v>
      </c>
      <c r="AA276" s="28">
        <f t="shared" si="355"/>
        <v>45380</v>
      </c>
      <c r="AB276" s="24">
        <f t="shared" si="356"/>
        <v>0</v>
      </c>
      <c r="AC276" s="25">
        <f t="shared" si="357"/>
        <v>0</v>
      </c>
      <c r="AD276" s="28">
        <f t="shared" si="358"/>
        <v>45380</v>
      </c>
      <c r="AE276" s="24">
        <f t="shared" si="359"/>
        <v>0</v>
      </c>
      <c r="AF276" s="25">
        <f t="shared" si="360"/>
        <v>0</v>
      </c>
      <c r="AG276" s="28">
        <f t="shared" si="361"/>
        <v>45380</v>
      </c>
      <c r="AH276" s="24">
        <f t="shared" si="362"/>
        <v>0</v>
      </c>
      <c r="AI276" s="25">
        <f t="shared" si="363"/>
        <v>0</v>
      </c>
      <c r="AJ276" s="28">
        <f t="shared" si="364"/>
        <v>45380</v>
      </c>
      <c r="AK276" s="24">
        <f t="shared" si="365"/>
        <v>0</v>
      </c>
      <c r="AL276" s="25">
        <f t="shared" si="366"/>
        <v>0</v>
      </c>
      <c r="AM276" s="29">
        <f t="shared" si="367"/>
        <v>0</v>
      </c>
      <c r="AN276" s="28">
        <f t="shared" si="368"/>
        <v>45380</v>
      </c>
      <c r="AO276" s="373">
        <f t="shared" si="337"/>
        <v>0</v>
      </c>
      <c r="AP276" s="374">
        <f t="shared" si="338"/>
        <v>0</v>
      </c>
      <c r="AQ276" s="27">
        <f t="shared" si="339"/>
        <v>0</v>
      </c>
      <c r="AR276" s="25">
        <f t="shared" si="340"/>
        <v>0</v>
      </c>
      <c r="AS276" s="25">
        <f t="shared" si="341"/>
        <v>0</v>
      </c>
      <c r="AT276" s="25">
        <f t="shared" si="342"/>
        <v>0</v>
      </c>
      <c r="AU276" s="29">
        <f t="shared" si="399"/>
        <v>0</v>
      </c>
      <c r="AV276" s="27">
        <f t="shared" si="369"/>
        <v>0</v>
      </c>
      <c r="AW276" s="27">
        <f t="shared" si="370"/>
        <v>0</v>
      </c>
      <c r="AX276" s="27">
        <f t="shared" si="371"/>
        <v>0</v>
      </c>
      <c r="AY276" s="27">
        <f t="shared" si="372"/>
        <v>0</v>
      </c>
      <c r="BH276" s="2">
        <f t="shared" si="373"/>
        <v>0</v>
      </c>
      <c r="BI276" s="298" t="str">
        <f t="shared" si="374"/>
        <v/>
      </c>
      <c r="BJ276" s="298" t="str">
        <f t="shared" si="343"/>
        <v/>
      </c>
      <c r="BQ276" s="4">
        <f t="shared" si="375"/>
        <v>45380</v>
      </c>
      <c r="BR276" s="112">
        <f t="shared" si="376"/>
        <v>0</v>
      </c>
      <c r="BS276" s="112">
        <f t="shared" si="377"/>
        <v>0</v>
      </c>
      <c r="BT276" s="112">
        <f t="shared" si="378"/>
        <v>0</v>
      </c>
      <c r="BU276" s="112">
        <f t="shared" si="379"/>
        <v>0</v>
      </c>
      <c r="BV276" s="112">
        <f t="shared" si="380"/>
        <v>0</v>
      </c>
      <c r="CI276" s="4">
        <f t="shared" si="381"/>
        <v>45380</v>
      </c>
      <c r="CJ276" s="50">
        <f ca="1">IF($BH276=0,IF($CO276="",CJ275+R276,IF('283'!$K$251=1,VLOOKUP($CO276,PerStBal,2)+R276,IF('283'!$K$253=1,(VLOOKUP($CO276,PerPortion,2)*VLOOKUP($CO276,PerStBal,6))+R276,GL!BS276))),0)</f>
        <v>0</v>
      </c>
      <c r="CK276" s="425">
        <f ca="1">IF($BH276=0,IF($CO276="",CK275+T276,IF('283'!$K$251=1,IF(mname2&lt;&gt;"",VLOOKUP($CO276,PerStBal,3)+T276,0),IF('283'!$K$253=1,(VLOOKUP($CO276,PerPortion,3)*VLOOKUP($CO276,PerStBal,6))+T276,GL!BT276))),0)</f>
        <v>0</v>
      </c>
      <c r="CL276" s="425">
        <f ca="1">IF($BH276=0,IF($CO276="",CL275+V276,IF('283'!$K$251=1,IF(mname3&lt;&gt;"",VLOOKUP($CO276,PerStBal,4)+V276,0),IF('283'!$K$253=1,(VLOOKUP($CO276,PerPortion,4)*VLOOKUP($CO276,PerStBal,6))+V276,GL!BU276))),0)</f>
        <v>0</v>
      </c>
      <c r="CM276" s="425">
        <f ca="1">IF($BH276=0,IF($CO276="",CM275+X276,IF('283'!$K$251=1,IF(mname4&lt;&gt;"",VLOOKUP($CO276,PerStBal,5)+X276,0),IF('283'!$K$253=1,(VLOOKUP($CO276,PerPortion,5)*VLOOKUP($CO276,PerStBal,6))+X276,GL!BV276))),0)</f>
        <v>0</v>
      </c>
      <c r="CN276" s="50">
        <f t="shared" ca="1" si="382"/>
        <v>0</v>
      </c>
      <c r="CO276" s="4" t="str">
        <f t="shared" ca="1" si="383"/>
        <v/>
      </c>
      <c r="CP276" s="377">
        <f t="shared" si="344"/>
        <v>0</v>
      </c>
      <c r="DI276" s="4">
        <f t="shared" si="384"/>
        <v>45380</v>
      </c>
      <c r="DJ276" s="112">
        <f t="shared" ca="1" si="385"/>
        <v>0</v>
      </c>
      <c r="DK276" s="112">
        <f t="shared" si="386"/>
        <v>0</v>
      </c>
      <c r="DL276" s="4">
        <f t="shared" si="387"/>
        <v>45380</v>
      </c>
      <c r="DM276" s="112">
        <f t="shared" ca="1" si="388"/>
        <v>0</v>
      </c>
      <c r="DN276" s="112">
        <f t="shared" si="389"/>
        <v>0</v>
      </c>
      <c r="DO276" s="4">
        <f t="shared" si="390"/>
        <v>45380</v>
      </c>
      <c r="DP276" s="112">
        <f t="shared" ca="1" si="391"/>
        <v>0</v>
      </c>
      <c r="DQ276" s="112">
        <f t="shared" si="392"/>
        <v>0</v>
      </c>
      <c r="DR276" s="4">
        <f t="shared" si="393"/>
        <v>45380</v>
      </c>
      <c r="DS276" s="112">
        <f t="shared" ca="1" si="394"/>
        <v>0</v>
      </c>
      <c r="DT276" s="112">
        <f t="shared" si="395"/>
        <v>0</v>
      </c>
      <c r="DU276" s="4">
        <f t="shared" si="396"/>
        <v>45380</v>
      </c>
      <c r="DV276" s="112">
        <f t="shared" si="397"/>
        <v>0</v>
      </c>
      <c r="DW276" s="112">
        <f t="shared" si="398"/>
        <v>0</v>
      </c>
    </row>
    <row r="277" spans="17:127" x14ac:dyDescent="0.25">
      <c r="Q277" s="4">
        <f t="shared" si="345"/>
        <v>45381</v>
      </c>
      <c r="R277" s="24">
        <f t="shared" si="346"/>
        <v>0</v>
      </c>
      <c r="S277" s="25">
        <f t="shared" si="347"/>
        <v>0</v>
      </c>
      <c r="T277" s="24">
        <f t="shared" si="348"/>
        <v>0</v>
      </c>
      <c r="U277" s="25">
        <f t="shared" si="349"/>
        <v>0</v>
      </c>
      <c r="V277" s="24">
        <f t="shared" si="350"/>
        <v>0</v>
      </c>
      <c r="W277" s="25">
        <f t="shared" si="351"/>
        <v>0</v>
      </c>
      <c r="X277" s="24">
        <f t="shared" si="352"/>
        <v>0</v>
      </c>
      <c r="Y277" s="26">
        <f t="shared" si="353"/>
        <v>0</v>
      </c>
      <c r="Z277" s="27">
        <f t="shared" si="354"/>
        <v>0</v>
      </c>
      <c r="AA277" s="28">
        <f t="shared" si="355"/>
        <v>45381</v>
      </c>
      <c r="AB277" s="24">
        <f t="shared" si="356"/>
        <v>0</v>
      </c>
      <c r="AC277" s="25">
        <f t="shared" si="357"/>
        <v>0</v>
      </c>
      <c r="AD277" s="28">
        <f t="shared" si="358"/>
        <v>45381</v>
      </c>
      <c r="AE277" s="24">
        <f t="shared" si="359"/>
        <v>0</v>
      </c>
      <c r="AF277" s="25">
        <f t="shared" si="360"/>
        <v>0</v>
      </c>
      <c r="AG277" s="28">
        <f t="shared" si="361"/>
        <v>45381</v>
      </c>
      <c r="AH277" s="24">
        <f t="shared" si="362"/>
        <v>0</v>
      </c>
      <c r="AI277" s="25">
        <f t="shared" si="363"/>
        <v>0</v>
      </c>
      <c r="AJ277" s="28">
        <f t="shared" si="364"/>
        <v>45381</v>
      </c>
      <c r="AK277" s="24">
        <f t="shared" si="365"/>
        <v>0</v>
      </c>
      <c r="AL277" s="25">
        <f t="shared" si="366"/>
        <v>0</v>
      </c>
      <c r="AM277" s="29">
        <f t="shared" si="367"/>
        <v>0</v>
      </c>
      <c r="AN277" s="28">
        <f t="shared" si="368"/>
        <v>45381</v>
      </c>
      <c r="AO277" s="373">
        <f t="shared" si="337"/>
        <v>0</v>
      </c>
      <c r="AP277" s="374">
        <f t="shared" si="338"/>
        <v>0</v>
      </c>
      <c r="AQ277" s="27">
        <f t="shared" si="339"/>
        <v>0</v>
      </c>
      <c r="AR277" s="25">
        <f t="shared" si="340"/>
        <v>0</v>
      </c>
      <c r="AS277" s="25">
        <f t="shared" si="341"/>
        <v>0</v>
      </c>
      <c r="AT277" s="25">
        <f t="shared" si="342"/>
        <v>0</v>
      </c>
      <c r="AU277" s="29">
        <f t="shared" si="399"/>
        <v>0</v>
      </c>
      <c r="AV277" s="27">
        <f t="shared" si="369"/>
        <v>0</v>
      </c>
      <c r="AW277" s="27">
        <f t="shared" si="370"/>
        <v>0</v>
      </c>
      <c r="AX277" s="27">
        <f t="shared" si="371"/>
        <v>0</v>
      </c>
      <c r="AY277" s="27">
        <f t="shared" si="372"/>
        <v>0</v>
      </c>
      <c r="BH277" s="2">
        <f t="shared" si="373"/>
        <v>0</v>
      </c>
      <c r="BI277" s="298" t="str">
        <f t="shared" si="374"/>
        <v/>
      </c>
      <c r="BJ277" s="298" t="str">
        <f t="shared" si="343"/>
        <v/>
      </c>
      <c r="BQ277" s="4">
        <f t="shared" si="375"/>
        <v>45381</v>
      </c>
      <c r="BR277" s="112">
        <f t="shared" si="376"/>
        <v>0</v>
      </c>
      <c r="BS277" s="112">
        <f t="shared" si="377"/>
        <v>0</v>
      </c>
      <c r="BT277" s="112">
        <f t="shared" si="378"/>
        <v>0</v>
      </c>
      <c r="BU277" s="112">
        <f t="shared" si="379"/>
        <v>0</v>
      </c>
      <c r="BV277" s="112">
        <f t="shared" si="380"/>
        <v>0</v>
      </c>
      <c r="CI277" s="4">
        <f t="shared" si="381"/>
        <v>45381</v>
      </c>
      <c r="CJ277" s="50">
        <f ca="1">IF($BH277=0,IF($CO277="",CJ276+R277,IF('283'!$K$251=1,VLOOKUP($CO277,PerStBal,2)+R277,IF('283'!$K$253=1,(VLOOKUP($CO277,PerPortion,2)*VLOOKUP($CO277,PerStBal,6))+R277,GL!BS277))),0)</f>
        <v>0</v>
      </c>
      <c r="CK277" s="425">
        <f ca="1">IF($BH277=0,IF($CO277="",CK276+T277,IF('283'!$K$251=1,IF(mname2&lt;&gt;"",VLOOKUP($CO277,PerStBal,3)+T277,0),IF('283'!$K$253=1,(VLOOKUP($CO277,PerPortion,3)*VLOOKUP($CO277,PerStBal,6))+T277,GL!BT277))),0)</f>
        <v>0</v>
      </c>
      <c r="CL277" s="425">
        <f ca="1">IF($BH277=0,IF($CO277="",CL276+V277,IF('283'!$K$251=1,IF(mname3&lt;&gt;"",VLOOKUP($CO277,PerStBal,4)+V277,0),IF('283'!$K$253=1,(VLOOKUP($CO277,PerPortion,4)*VLOOKUP($CO277,PerStBal,6))+V277,GL!BU277))),0)</f>
        <v>0</v>
      </c>
      <c r="CM277" s="425">
        <f ca="1">IF($BH277=0,IF($CO277="",CM276+X277,IF('283'!$K$251=1,IF(mname4&lt;&gt;"",VLOOKUP($CO277,PerStBal,5)+X277,0),IF('283'!$K$253=1,(VLOOKUP($CO277,PerPortion,5)*VLOOKUP($CO277,PerStBal,6))+X277,GL!BV277))),0)</f>
        <v>0</v>
      </c>
      <c r="CN277" s="50">
        <f t="shared" ca="1" si="382"/>
        <v>0</v>
      </c>
      <c r="CO277" s="4" t="str">
        <f t="shared" ca="1" si="383"/>
        <v/>
      </c>
      <c r="CP277" s="377">
        <f t="shared" si="344"/>
        <v>0</v>
      </c>
      <c r="DI277" s="4">
        <f t="shared" si="384"/>
        <v>45381</v>
      </c>
      <c r="DJ277" s="112">
        <f t="shared" ca="1" si="385"/>
        <v>0</v>
      </c>
      <c r="DK277" s="112">
        <f t="shared" si="386"/>
        <v>0</v>
      </c>
      <c r="DL277" s="4">
        <f t="shared" si="387"/>
        <v>45381</v>
      </c>
      <c r="DM277" s="112">
        <f t="shared" ca="1" si="388"/>
        <v>0</v>
      </c>
      <c r="DN277" s="112">
        <f t="shared" si="389"/>
        <v>0</v>
      </c>
      <c r="DO277" s="4">
        <f t="shared" si="390"/>
        <v>45381</v>
      </c>
      <c r="DP277" s="112">
        <f t="shared" ca="1" si="391"/>
        <v>0</v>
      </c>
      <c r="DQ277" s="112">
        <f t="shared" si="392"/>
        <v>0</v>
      </c>
      <c r="DR277" s="4">
        <f t="shared" si="393"/>
        <v>45381</v>
      </c>
      <c r="DS277" s="112">
        <f t="shared" ca="1" si="394"/>
        <v>0</v>
      </c>
      <c r="DT277" s="112">
        <f t="shared" si="395"/>
        <v>0</v>
      </c>
      <c r="DU277" s="4">
        <f t="shared" si="396"/>
        <v>45381</v>
      </c>
      <c r="DV277" s="112">
        <f t="shared" si="397"/>
        <v>0</v>
      </c>
      <c r="DW277" s="112">
        <f t="shared" si="398"/>
        <v>0</v>
      </c>
    </row>
    <row r="278" spans="17:127" x14ac:dyDescent="0.25">
      <c r="Q278" s="4">
        <f t="shared" si="345"/>
        <v>45382</v>
      </c>
      <c r="R278" s="24">
        <f t="shared" si="346"/>
        <v>0</v>
      </c>
      <c r="S278" s="25">
        <f t="shared" si="347"/>
        <v>0</v>
      </c>
      <c r="T278" s="24">
        <f t="shared" si="348"/>
        <v>0</v>
      </c>
      <c r="U278" s="25">
        <f t="shared" si="349"/>
        <v>0</v>
      </c>
      <c r="V278" s="24">
        <f t="shared" si="350"/>
        <v>0</v>
      </c>
      <c r="W278" s="25">
        <f t="shared" si="351"/>
        <v>0</v>
      </c>
      <c r="X278" s="24">
        <f t="shared" si="352"/>
        <v>0</v>
      </c>
      <c r="Y278" s="26">
        <f t="shared" si="353"/>
        <v>0</v>
      </c>
      <c r="Z278" s="27">
        <f t="shared" si="354"/>
        <v>0</v>
      </c>
      <c r="AA278" s="28">
        <f t="shared" si="355"/>
        <v>45382</v>
      </c>
      <c r="AB278" s="24">
        <f t="shared" si="356"/>
        <v>0</v>
      </c>
      <c r="AC278" s="25">
        <f t="shared" si="357"/>
        <v>0</v>
      </c>
      <c r="AD278" s="28">
        <f t="shared" si="358"/>
        <v>45382</v>
      </c>
      <c r="AE278" s="24">
        <f t="shared" si="359"/>
        <v>0</v>
      </c>
      <c r="AF278" s="25">
        <f t="shared" si="360"/>
        <v>0</v>
      </c>
      <c r="AG278" s="28">
        <f t="shared" si="361"/>
        <v>45382</v>
      </c>
      <c r="AH278" s="24">
        <f t="shared" si="362"/>
        <v>0</v>
      </c>
      <c r="AI278" s="25">
        <f t="shared" si="363"/>
        <v>0</v>
      </c>
      <c r="AJ278" s="28">
        <f t="shared" si="364"/>
        <v>45382</v>
      </c>
      <c r="AK278" s="24">
        <f t="shared" si="365"/>
        <v>0</v>
      </c>
      <c r="AL278" s="25">
        <f t="shared" si="366"/>
        <v>0</v>
      </c>
      <c r="AM278" s="29">
        <f t="shared" si="367"/>
        <v>0</v>
      </c>
      <c r="AN278" s="28">
        <f t="shared" si="368"/>
        <v>45382</v>
      </c>
      <c r="AO278" s="373">
        <f t="shared" si="337"/>
        <v>0</v>
      </c>
      <c r="AP278" s="374">
        <f t="shared" si="338"/>
        <v>0</v>
      </c>
      <c r="AQ278" s="27">
        <f t="shared" si="339"/>
        <v>0</v>
      </c>
      <c r="AR278" s="25">
        <f t="shared" si="340"/>
        <v>0</v>
      </c>
      <c r="AS278" s="25">
        <f t="shared" si="341"/>
        <v>0</v>
      </c>
      <c r="AT278" s="25">
        <f t="shared" si="342"/>
        <v>0</v>
      </c>
      <c r="AU278" s="29">
        <f t="shared" si="399"/>
        <v>0</v>
      </c>
      <c r="AV278" s="27">
        <f t="shared" si="369"/>
        <v>0</v>
      </c>
      <c r="AW278" s="27">
        <f t="shared" si="370"/>
        <v>0</v>
      </c>
      <c r="AX278" s="27">
        <f t="shared" si="371"/>
        <v>0</v>
      </c>
      <c r="AY278" s="27">
        <f t="shared" si="372"/>
        <v>0</v>
      </c>
      <c r="BH278" s="2">
        <f t="shared" si="373"/>
        <v>0</v>
      </c>
      <c r="BI278" s="298" t="str">
        <f t="shared" si="374"/>
        <v/>
      </c>
      <c r="BJ278" s="298" t="str">
        <f t="shared" si="343"/>
        <v/>
      </c>
      <c r="BQ278" s="4">
        <f t="shared" si="375"/>
        <v>45382</v>
      </c>
      <c r="BR278" s="112">
        <f t="shared" si="376"/>
        <v>0</v>
      </c>
      <c r="BS278" s="112">
        <f t="shared" si="377"/>
        <v>0</v>
      </c>
      <c r="BT278" s="112">
        <f t="shared" si="378"/>
        <v>0</v>
      </c>
      <c r="BU278" s="112">
        <f t="shared" si="379"/>
        <v>0</v>
      </c>
      <c r="BV278" s="112">
        <f t="shared" si="380"/>
        <v>0</v>
      </c>
      <c r="CI278" s="4">
        <f t="shared" si="381"/>
        <v>45382</v>
      </c>
      <c r="CJ278" s="50">
        <f ca="1">IF($BH278=0,IF($CO278="",CJ277+R278,IF('283'!$K$251=1,VLOOKUP($CO278,PerStBal,2)+R278,IF('283'!$K$253=1,(VLOOKUP($CO278,PerPortion,2)*VLOOKUP($CO278,PerStBal,6))+R278,GL!BS278))),0)</f>
        <v>0</v>
      </c>
      <c r="CK278" s="425">
        <f ca="1">IF($BH278=0,IF($CO278="",CK277+T278,IF('283'!$K$251=1,IF(mname2&lt;&gt;"",VLOOKUP($CO278,PerStBal,3)+T278,0),IF('283'!$K$253=1,(VLOOKUP($CO278,PerPortion,3)*VLOOKUP($CO278,PerStBal,6))+T278,GL!BT278))),0)</f>
        <v>0</v>
      </c>
      <c r="CL278" s="425">
        <f ca="1">IF($BH278=0,IF($CO278="",CL277+V278,IF('283'!$K$251=1,IF(mname3&lt;&gt;"",VLOOKUP($CO278,PerStBal,4)+V278,0),IF('283'!$K$253=1,(VLOOKUP($CO278,PerPortion,4)*VLOOKUP($CO278,PerStBal,6))+V278,GL!BU278))),0)</f>
        <v>0</v>
      </c>
      <c r="CM278" s="425">
        <f ca="1">IF($BH278=0,IF($CO278="",CM277+X278,IF('283'!$K$251=1,IF(mname4&lt;&gt;"",VLOOKUP($CO278,PerStBal,5)+X278,0),IF('283'!$K$253=1,(VLOOKUP($CO278,PerPortion,5)*VLOOKUP($CO278,PerStBal,6))+X278,GL!BV278))),0)</f>
        <v>0</v>
      </c>
      <c r="CN278" s="50">
        <f t="shared" ca="1" si="382"/>
        <v>0</v>
      </c>
      <c r="CO278" s="4" t="str">
        <f t="shared" ca="1" si="383"/>
        <v/>
      </c>
      <c r="CP278" s="377">
        <f t="shared" si="344"/>
        <v>0</v>
      </c>
      <c r="DI278" s="4">
        <f t="shared" si="384"/>
        <v>45382</v>
      </c>
      <c r="DJ278" s="112">
        <f t="shared" ca="1" si="385"/>
        <v>0</v>
      </c>
      <c r="DK278" s="112">
        <f t="shared" si="386"/>
        <v>0</v>
      </c>
      <c r="DL278" s="4">
        <f t="shared" si="387"/>
        <v>45382</v>
      </c>
      <c r="DM278" s="112">
        <f t="shared" ca="1" si="388"/>
        <v>0</v>
      </c>
      <c r="DN278" s="112">
        <f t="shared" si="389"/>
        <v>0</v>
      </c>
      <c r="DO278" s="4">
        <f t="shared" si="390"/>
        <v>45382</v>
      </c>
      <c r="DP278" s="112">
        <f t="shared" ca="1" si="391"/>
        <v>0</v>
      </c>
      <c r="DQ278" s="112">
        <f t="shared" si="392"/>
        <v>0</v>
      </c>
      <c r="DR278" s="4">
        <f t="shared" si="393"/>
        <v>45382</v>
      </c>
      <c r="DS278" s="112">
        <f t="shared" ca="1" si="394"/>
        <v>0</v>
      </c>
      <c r="DT278" s="112">
        <f t="shared" si="395"/>
        <v>0</v>
      </c>
      <c r="DU278" s="4">
        <f t="shared" si="396"/>
        <v>45382</v>
      </c>
      <c r="DV278" s="112">
        <f t="shared" si="397"/>
        <v>0</v>
      </c>
      <c r="DW278" s="112">
        <f t="shared" si="398"/>
        <v>0</v>
      </c>
    </row>
    <row r="279" spans="17:127" x14ac:dyDescent="0.25">
      <c r="Q279" s="4">
        <f t="shared" si="345"/>
        <v>45383</v>
      </c>
      <c r="R279" s="24">
        <f t="shared" si="346"/>
        <v>0</v>
      </c>
      <c r="S279" s="25">
        <f t="shared" si="347"/>
        <v>0</v>
      </c>
      <c r="T279" s="24">
        <f t="shared" si="348"/>
        <v>0</v>
      </c>
      <c r="U279" s="25">
        <f t="shared" si="349"/>
        <v>0</v>
      </c>
      <c r="V279" s="24">
        <f t="shared" si="350"/>
        <v>0</v>
      </c>
      <c r="W279" s="25">
        <f t="shared" si="351"/>
        <v>0</v>
      </c>
      <c r="X279" s="24">
        <f t="shared" si="352"/>
        <v>0</v>
      </c>
      <c r="Y279" s="26">
        <f t="shared" si="353"/>
        <v>0</v>
      </c>
      <c r="Z279" s="27">
        <f t="shared" si="354"/>
        <v>0</v>
      </c>
      <c r="AA279" s="28">
        <f t="shared" si="355"/>
        <v>45383</v>
      </c>
      <c r="AB279" s="24">
        <f t="shared" si="356"/>
        <v>0</v>
      </c>
      <c r="AC279" s="25">
        <f t="shared" si="357"/>
        <v>0</v>
      </c>
      <c r="AD279" s="28">
        <f t="shared" si="358"/>
        <v>45383</v>
      </c>
      <c r="AE279" s="24">
        <f t="shared" si="359"/>
        <v>0</v>
      </c>
      <c r="AF279" s="25">
        <f t="shared" si="360"/>
        <v>0</v>
      </c>
      <c r="AG279" s="28">
        <f t="shared" si="361"/>
        <v>45383</v>
      </c>
      <c r="AH279" s="24">
        <f t="shared" si="362"/>
        <v>0</v>
      </c>
      <c r="AI279" s="25">
        <f t="shared" si="363"/>
        <v>0</v>
      </c>
      <c r="AJ279" s="28">
        <f t="shared" si="364"/>
        <v>45383</v>
      </c>
      <c r="AK279" s="24">
        <f t="shared" si="365"/>
        <v>0</v>
      </c>
      <c r="AL279" s="25">
        <f t="shared" si="366"/>
        <v>0</v>
      </c>
      <c r="AM279" s="29">
        <f t="shared" si="367"/>
        <v>0</v>
      </c>
      <c r="AN279" s="28">
        <f t="shared" si="368"/>
        <v>45383</v>
      </c>
      <c r="AO279" s="373">
        <f t="shared" si="337"/>
        <v>0</v>
      </c>
      <c r="AP279" s="374">
        <f t="shared" si="338"/>
        <v>0</v>
      </c>
      <c r="AQ279" s="27">
        <f t="shared" si="339"/>
        <v>0</v>
      </c>
      <c r="AR279" s="25">
        <f t="shared" si="340"/>
        <v>0</v>
      </c>
      <c r="AS279" s="25">
        <f t="shared" si="341"/>
        <v>0</v>
      </c>
      <c r="AT279" s="25">
        <f t="shared" si="342"/>
        <v>0</v>
      </c>
      <c r="AU279" s="29">
        <f t="shared" si="399"/>
        <v>0</v>
      </c>
      <c r="AV279" s="27">
        <f t="shared" si="369"/>
        <v>0</v>
      </c>
      <c r="AW279" s="27">
        <f t="shared" si="370"/>
        <v>0</v>
      </c>
      <c r="AX279" s="27">
        <f t="shared" si="371"/>
        <v>0</v>
      </c>
      <c r="AY279" s="27">
        <f t="shared" si="372"/>
        <v>0</v>
      </c>
      <c r="BH279" s="2">
        <f t="shared" si="373"/>
        <v>0</v>
      </c>
      <c r="BI279" s="298" t="str">
        <f t="shared" si="374"/>
        <v/>
      </c>
      <c r="BJ279" s="298" t="str">
        <f t="shared" si="343"/>
        <v/>
      </c>
      <c r="BQ279" s="4">
        <f t="shared" si="375"/>
        <v>45383</v>
      </c>
      <c r="BR279" s="112">
        <f t="shared" si="376"/>
        <v>0</v>
      </c>
      <c r="BS279" s="112">
        <f t="shared" si="377"/>
        <v>0</v>
      </c>
      <c r="BT279" s="112">
        <f t="shared" si="378"/>
        <v>0</v>
      </c>
      <c r="BU279" s="112">
        <f t="shared" si="379"/>
        <v>0</v>
      </c>
      <c r="BV279" s="112">
        <f t="shared" si="380"/>
        <v>0</v>
      </c>
      <c r="CI279" s="4">
        <f t="shared" si="381"/>
        <v>45383</v>
      </c>
      <c r="CJ279" s="50">
        <f ca="1">IF($BH279=0,IF($CO279="",CJ278+R279,IF('283'!$K$251=1,VLOOKUP($CO279,PerStBal,2)+R279,IF('283'!$K$253=1,(VLOOKUP($CO279,PerPortion,2)*VLOOKUP($CO279,PerStBal,6))+R279,GL!BS279))),0)</f>
        <v>0</v>
      </c>
      <c r="CK279" s="425">
        <f ca="1">IF($BH279=0,IF($CO279="",CK278+T279,IF('283'!$K$251=1,IF(mname2&lt;&gt;"",VLOOKUP($CO279,PerStBal,3)+T279,0),IF('283'!$K$253=1,(VLOOKUP($CO279,PerPortion,3)*VLOOKUP($CO279,PerStBal,6))+T279,GL!BT279))),0)</f>
        <v>0</v>
      </c>
      <c r="CL279" s="425">
        <f ca="1">IF($BH279=0,IF($CO279="",CL278+V279,IF('283'!$K$251=1,IF(mname3&lt;&gt;"",VLOOKUP($CO279,PerStBal,4)+V279,0),IF('283'!$K$253=1,(VLOOKUP($CO279,PerPortion,4)*VLOOKUP($CO279,PerStBal,6))+V279,GL!BU279))),0)</f>
        <v>0</v>
      </c>
      <c r="CM279" s="425">
        <f ca="1">IF($BH279=0,IF($CO279="",CM278+X279,IF('283'!$K$251=1,IF(mname4&lt;&gt;"",VLOOKUP($CO279,PerStBal,5)+X279,0),IF('283'!$K$253=1,(VLOOKUP($CO279,PerPortion,5)*VLOOKUP($CO279,PerStBal,6))+X279,GL!BV279))),0)</f>
        <v>0</v>
      </c>
      <c r="CN279" s="50">
        <f t="shared" ca="1" si="382"/>
        <v>0</v>
      </c>
      <c r="CO279" s="4" t="str">
        <f t="shared" ca="1" si="383"/>
        <v/>
      </c>
      <c r="CP279" s="377">
        <f t="shared" si="344"/>
        <v>0</v>
      </c>
      <c r="DI279" s="4">
        <f t="shared" si="384"/>
        <v>45383</v>
      </c>
      <c r="DJ279" s="112">
        <f t="shared" ca="1" si="385"/>
        <v>0</v>
      </c>
      <c r="DK279" s="112">
        <f t="shared" si="386"/>
        <v>0</v>
      </c>
      <c r="DL279" s="4">
        <f t="shared" si="387"/>
        <v>45383</v>
      </c>
      <c r="DM279" s="112">
        <f t="shared" ca="1" si="388"/>
        <v>0</v>
      </c>
      <c r="DN279" s="112">
        <f t="shared" si="389"/>
        <v>0</v>
      </c>
      <c r="DO279" s="4">
        <f t="shared" si="390"/>
        <v>45383</v>
      </c>
      <c r="DP279" s="112">
        <f t="shared" ca="1" si="391"/>
        <v>0</v>
      </c>
      <c r="DQ279" s="112">
        <f t="shared" si="392"/>
        <v>0</v>
      </c>
      <c r="DR279" s="4">
        <f t="shared" si="393"/>
        <v>45383</v>
      </c>
      <c r="DS279" s="112">
        <f t="shared" ca="1" si="394"/>
        <v>0</v>
      </c>
      <c r="DT279" s="112">
        <f t="shared" si="395"/>
        <v>0</v>
      </c>
      <c r="DU279" s="4">
        <f t="shared" si="396"/>
        <v>45383</v>
      </c>
      <c r="DV279" s="112">
        <f t="shared" si="397"/>
        <v>0</v>
      </c>
      <c r="DW279" s="112">
        <f t="shared" si="398"/>
        <v>0</v>
      </c>
    </row>
    <row r="280" spans="17:127" x14ac:dyDescent="0.25">
      <c r="Q280" s="4">
        <f t="shared" si="345"/>
        <v>45384</v>
      </c>
      <c r="R280" s="24">
        <f t="shared" si="346"/>
        <v>0</v>
      </c>
      <c r="S280" s="25">
        <f t="shared" si="347"/>
        <v>0</v>
      </c>
      <c r="T280" s="24">
        <f t="shared" si="348"/>
        <v>0</v>
      </c>
      <c r="U280" s="25">
        <f t="shared" si="349"/>
        <v>0</v>
      </c>
      <c r="V280" s="24">
        <f t="shared" si="350"/>
        <v>0</v>
      </c>
      <c r="W280" s="25">
        <f t="shared" si="351"/>
        <v>0</v>
      </c>
      <c r="X280" s="24">
        <f t="shared" si="352"/>
        <v>0</v>
      </c>
      <c r="Y280" s="26">
        <f t="shared" si="353"/>
        <v>0</v>
      </c>
      <c r="Z280" s="27">
        <f t="shared" si="354"/>
        <v>0</v>
      </c>
      <c r="AA280" s="28">
        <f t="shared" si="355"/>
        <v>45384</v>
      </c>
      <c r="AB280" s="24">
        <f t="shared" si="356"/>
        <v>0</v>
      </c>
      <c r="AC280" s="25">
        <f t="shared" si="357"/>
        <v>0</v>
      </c>
      <c r="AD280" s="28">
        <f t="shared" si="358"/>
        <v>45384</v>
      </c>
      <c r="AE280" s="24">
        <f t="shared" si="359"/>
        <v>0</v>
      </c>
      <c r="AF280" s="25">
        <f t="shared" si="360"/>
        <v>0</v>
      </c>
      <c r="AG280" s="28">
        <f t="shared" si="361"/>
        <v>45384</v>
      </c>
      <c r="AH280" s="24">
        <f t="shared" si="362"/>
        <v>0</v>
      </c>
      <c r="AI280" s="25">
        <f t="shared" si="363"/>
        <v>0</v>
      </c>
      <c r="AJ280" s="28">
        <f t="shared" si="364"/>
        <v>45384</v>
      </c>
      <c r="AK280" s="24">
        <f t="shared" si="365"/>
        <v>0</v>
      </c>
      <c r="AL280" s="25">
        <f t="shared" si="366"/>
        <v>0</v>
      </c>
      <c r="AM280" s="29">
        <f t="shared" si="367"/>
        <v>0</v>
      </c>
      <c r="AN280" s="28">
        <f t="shared" si="368"/>
        <v>45384</v>
      </c>
      <c r="AO280" s="373">
        <f t="shared" si="337"/>
        <v>0</v>
      </c>
      <c r="AP280" s="374">
        <f t="shared" si="338"/>
        <v>0</v>
      </c>
      <c r="AQ280" s="27">
        <f t="shared" si="339"/>
        <v>0</v>
      </c>
      <c r="AR280" s="25">
        <f t="shared" si="340"/>
        <v>0</v>
      </c>
      <c r="AS280" s="25">
        <f t="shared" si="341"/>
        <v>0</v>
      </c>
      <c r="AT280" s="25">
        <f t="shared" si="342"/>
        <v>0</v>
      </c>
      <c r="AU280" s="29">
        <f t="shared" si="399"/>
        <v>0</v>
      </c>
      <c r="AV280" s="27">
        <f t="shared" si="369"/>
        <v>0</v>
      </c>
      <c r="AW280" s="27">
        <f t="shared" si="370"/>
        <v>0</v>
      </c>
      <c r="AX280" s="27">
        <f t="shared" si="371"/>
        <v>0</v>
      </c>
      <c r="AY280" s="27">
        <f t="shared" si="372"/>
        <v>0</v>
      </c>
      <c r="BH280" s="2">
        <f t="shared" si="373"/>
        <v>0</v>
      </c>
      <c r="BI280" s="298" t="str">
        <f t="shared" si="374"/>
        <v/>
      </c>
      <c r="BJ280" s="298" t="str">
        <f t="shared" si="343"/>
        <v/>
      </c>
      <c r="BQ280" s="4">
        <f t="shared" si="375"/>
        <v>45384</v>
      </c>
      <c r="BR280" s="112">
        <f t="shared" si="376"/>
        <v>0</v>
      </c>
      <c r="BS280" s="112">
        <f t="shared" si="377"/>
        <v>0</v>
      </c>
      <c r="BT280" s="112">
        <f t="shared" si="378"/>
        <v>0</v>
      </c>
      <c r="BU280" s="112">
        <f t="shared" si="379"/>
        <v>0</v>
      </c>
      <c r="BV280" s="112">
        <f t="shared" si="380"/>
        <v>0</v>
      </c>
      <c r="CI280" s="4">
        <f t="shared" si="381"/>
        <v>45384</v>
      </c>
      <c r="CJ280" s="50">
        <f ca="1">IF($BH280=0,IF($CO280="",CJ279+R280,IF('283'!$K$251=1,VLOOKUP($CO280,PerStBal,2)+R280,IF('283'!$K$253=1,(VLOOKUP($CO280,PerPortion,2)*VLOOKUP($CO280,PerStBal,6))+R280,GL!BS280))),0)</f>
        <v>0</v>
      </c>
      <c r="CK280" s="425">
        <f ca="1">IF($BH280=0,IF($CO280="",CK279+T280,IF('283'!$K$251=1,IF(mname2&lt;&gt;"",VLOOKUP($CO280,PerStBal,3)+T280,0),IF('283'!$K$253=1,(VLOOKUP($CO280,PerPortion,3)*VLOOKUP($CO280,PerStBal,6))+T280,GL!BT280))),0)</f>
        <v>0</v>
      </c>
      <c r="CL280" s="425">
        <f ca="1">IF($BH280=0,IF($CO280="",CL279+V280,IF('283'!$K$251=1,IF(mname3&lt;&gt;"",VLOOKUP($CO280,PerStBal,4)+V280,0),IF('283'!$K$253=1,(VLOOKUP($CO280,PerPortion,4)*VLOOKUP($CO280,PerStBal,6))+V280,GL!BU280))),0)</f>
        <v>0</v>
      </c>
      <c r="CM280" s="425">
        <f ca="1">IF($BH280=0,IF($CO280="",CM279+X280,IF('283'!$K$251=1,IF(mname4&lt;&gt;"",VLOOKUP($CO280,PerStBal,5)+X280,0),IF('283'!$K$253=1,(VLOOKUP($CO280,PerPortion,5)*VLOOKUP($CO280,PerStBal,6))+X280,GL!BV280))),0)</f>
        <v>0</v>
      </c>
      <c r="CN280" s="50">
        <f t="shared" ca="1" si="382"/>
        <v>0</v>
      </c>
      <c r="CO280" s="4" t="str">
        <f t="shared" ca="1" si="383"/>
        <v/>
      </c>
      <c r="CP280" s="377">
        <f t="shared" si="344"/>
        <v>0</v>
      </c>
      <c r="DI280" s="4">
        <f t="shared" si="384"/>
        <v>45384</v>
      </c>
      <c r="DJ280" s="112">
        <f t="shared" ca="1" si="385"/>
        <v>0</v>
      </c>
      <c r="DK280" s="112">
        <f t="shared" si="386"/>
        <v>0</v>
      </c>
      <c r="DL280" s="4">
        <f t="shared" si="387"/>
        <v>45384</v>
      </c>
      <c r="DM280" s="112">
        <f t="shared" ca="1" si="388"/>
        <v>0</v>
      </c>
      <c r="DN280" s="112">
        <f t="shared" si="389"/>
        <v>0</v>
      </c>
      <c r="DO280" s="4">
        <f t="shared" si="390"/>
        <v>45384</v>
      </c>
      <c r="DP280" s="112">
        <f t="shared" ca="1" si="391"/>
        <v>0</v>
      </c>
      <c r="DQ280" s="112">
        <f t="shared" si="392"/>
        <v>0</v>
      </c>
      <c r="DR280" s="4">
        <f t="shared" si="393"/>
        <v>45384</v>
      </c>
      <c r="DS280" s="112">
        <f t="shared" ca="1" si="394"/>
        <v>0</v>
      </c>
      <c r="DT280" s="112">
        <f t="shared" si="395"/>
        <v>0</v>
      </c>
      <c r="DU280" s="4">
        <f t="shared" si="396"/>
        <v>45384</v>
      </c>
      <c r="DV280" s="112">
        <f t="shared" si="397"/>
        <v>0</v>
      </c>
      <c r="DW280" s="112">
        <f t="shared" si="398"/>
        <v>0</v>
      </c>
    </row>
    <row r="281" spans="17:127" x14ac:dyDescent="0.25">
      <c r="Q281" s="4">
        <f t="shared" si="345"/>
        <v>45385</v>
      </c>
      <c r="R281" s="24">
        <f t="shared" si="346"/>
        <v>0</v>
      </c>
      <c r="S281" s="25">
        <f t="shared" si="347"/>
        <v>0</v>
      </c>
      <c r="T281" s="24">
        <f t="shared" si="348"/>
        <v>0</v>
      </c>
      <c r="U281" s="25">
        <f t="shared" si="349"/>
        <v>0</v>
      </c>
      <c r="V281" s="24">
        <f t="shared" si="350"/>
        <v>0</v>
      </c>
      <c r="W281" s="25">
        <f t="shared" si="351"/>
        <v>0</v>
      </c>
      <c r="X281" s="24">
        <f t="shared" si="352"/>
        <v>0</v>
      </c>
      <c r="Y281" s="26">
        <f t="shared" si="353"/>
        <v>0</v>
      </c>
      <c r="Z281" s="27">
        <f t="shared" si="354"/>
        <v>0</v>
      </c>
      <c r="AA281" s="28">
        <f t="shared" si="355"/>
        <v>45385</v>
      </c>
      <c r="AB281" s="24">
        <f t="shared" si="356"/>
        <v>0</v>
      </c>
      <c r="AC281" s="25">
        <f t="shared" si="357"/>
        <v>0</v>
      </c>
      <c r="AD281" s="28">
        <f t="shared" si="358"/>
        <v>45385</v>
      </c>
      <c r="AE281" s="24">
        <f t="shared" si="359"/>
        <v>0</v>
      </c>
      <c r="AF281" s="25">
        <f t="shared" si="360"/>
        <v>0</v>
      </c>
      <c r="AG281" s="28">
        <f t="shared" si="361"/>
        <v>45385</v>
      </c>
      <c r="AH281" s="24">
        <f t="shared" si="362"/>
        <v>0</v>
      </c>
      <c r="AI281" s="25">
        <f t="shared" si="363"/>
        <v>0</v>
      </c>
      <c r="AJ281" s="28">
        <f t="shared" si="364"/>
        <v>45385</v>
      </c>
      <c r="AK281" s="24">
        <f t="shared" si="365"/>
        <v>0</v>
      </c>
      <c r="AL281" s="25">
        <f t="shared" si="366"/>
        <v>0</v>
      </c>
      <c r="AM281" s="29">
        <f t="shared" si="367"/>
        <v>0</v>
      </c>
      <c r="AN281" s="28">
        <f t="shared" si="368"/>
        <v>45385</v>
      </c>
      <c r="AO281" s="373">
        <f t="shared" si="337"/>
        <v>0</v>
      </c>
      <c r="AP281" s="374">
        <f t="shared" si="338"/>
        <v>0</v>
      </c>
      <c r="AQ281" s="27">
        <f t="shared" si="339"/>
        <v>0</v>
      </c>
      <c r="AR281" s="25">
        <f t="shared" si="340"/>
        <v>0</v>
      </c>
      <c r="AS281" s="25">
        <f t="shared" si="341"/>
        <v>0</v>
      </c>
      <c r="AT281" s="25">
        <f t="shared" si="342"/>
        <v>0</v>
      </c>
      <c r="AU281" s="29">
        <f t="shared" si="399"/>
        <v>0</v>
      </c>
      <c r="AV281" s="27">
        <f t="shared" si="369"/>
        <v>0</v>
      </c>
      <c r="AW281" s="27">
        <f t="shared" si="370"/>
        <v>0</v>
      </c>
      <c r="AX281" s="27">
        <f t="shared" si="371"/>
        <v>0</v>
      </c>
      <c r="AY281" s="27">
        <f t="shared" si="372"/>
        <v>0</v>
      </c>
      <c r="BH281" s="2">
        <f t="shared" si="373"/>
        <v>0</v>
      </c>
      <c r="BI281" s="298" t="str">
        <f t="shared" si="374"/>
        <v/>
      </c>
      <c r="BJ281" s="298" t="str">
        <f t="shared" si="343"/>
        <v/>
      </c>
      <c r="BQ281" s="4">
        <f t="shared" si="375"/>
        <v>45385</v>
      </c>
      <c r="BR281" s="112">
        <f t="shared" si="376"/>
        <v>0</v>
      </c>
      <c r="BS281" s="112">
        <f t="shared" si="377"/>
        <v>0</v>
      </c>
      <c r="BT281" s="112">
        <f t="shared" si="378"/>
        <v>0</v>
      </c>
      <c r="BU281" s="112">
        <f t="shared" si="379"/>
        <v>0</v>
      </c>
      <c r="BV281" s="112">
        <f t="shared" si="380"/>
        <v>0</v>
      </c>
      <c r="CI281" s="4">
        <f t="shared" si="381"/>
        <v>45385</v>
      </c>
      <c r="CJ281" s="50">
        <f ca="1">IF($BH281=0,IF($CO281="",CJ280+R281,IF('283'!$K$251=1,VLOOKUP($CO281,PerStBal,2)+R281,IF('283'!$K$253=1,(VLOOKUP($CO281,PerPortion,2)*VLOOKUP($CO281,PerStBal,6))+R281,GL!BS281))),0)</f>
        <v>0</v>
      </c>
      <c r="CK281" s="425">
        <f ca="1">IF($BH281=0,IF($CO281="",CK280+T281,IF('283'!$K$251=1,IF(mname2&lt;&gt;"",VLOOKUP($CO281,PerStBal,3)+T281,0),IF('283'!$K$253=1,(VLOOKUP($CO281,PerPortion,3)*VLOOKUP($CO281,PerStBal,6))+T281,GL!BT281))),0)</f>
        <v>0</v>
      </c>
      <c r="CL281" s="425">
        <f ca="1">IF($BH281=0,IF($CO281="",CL280+V281,IF('283'!$K$251=1,IF(mname3&lt;&gt;"",VLOOKUP($CO281,PerStBal,4)+V281,0),IF('283'!$K$253=1,(VLOOKUP($CO281,PerPortion,4)*VLOOKUP($CO281,PerStBal,6))+V281,GL!BU281))),0)</f>
        <v>0</v>
      </c>
      <c r="CM281" s="425">
        <f ca="1">IF($BH281=0,IF($CO281="",CM280+X281,IF('283'!$K$251=1,IF(mname4&lt;&gt;"",VLOOKUP($CO281,PerStBal,5)+X281,0),IF('283'!$K$253=1,(VLOOKUP($CO281,PerPortion,5)*VLOOKUP($CO281,PerStBal,6))+X281,GL!BV281))),0)</f>
        <v>0</v>
      </c>
      <c r="CN281" s="50">
        <f t="shared" ca="1" si="382"/>
        <v>0</v>
      </c>
      <c r="CO281" s="4" t="str">
        <f t="shared" ca="1" si="383"/>
        <v/>
      </c>
      <c r="CP281" s="377">
        <f t="shared" si="344"/>
        <v>0</v>
      </c>
      <c r="DI281" s="4">
        <f t="shared" si="384"/>
        <v>45385</v>
      </c>
      <c r="DJ281" s="112">
        <f t="shared" ca="1" si="385"/>
        <v>0</v>
      </c>
      <c r="DK281" s="112">
        <f t="shared" si="386"/>
        <v>0</v>
      </c>
      <c r="DL281" s="4">
        <f t="shared" si="387"/>
        <v>45385</v>
      </c>
      <c r="DM281" s="112">
        <f t="shared" ca="1" si="388"/>
        <v>0</v>
      </c>
      <c r="DN281" s="112">
        <f t="shared" si="389"/>
        <v>0</v>
      </c>
      <c r="DO281" s="4">
        <f t="shared" si="390"/>
        <v>45385</v>
      </c>
      <c r="DP281" s="112">
        <f t="shared" ca="1" si="391"/>
        <v>0</v>
      </c>
      <c r="DQ281" s="112">
        <f t="shared" si="392"/>
        <v>0</v>
      </c>
      <c r="DR281" s="4">
        <f t="shared" si="393"/>
        <v>45385</v>
      </c>
      <c r="DS281" s="112">
        <f t="shared" ca="1" si="394"/>
        <v>0</v>
      </c>
      <c r="DT281" s="112">
        <f t="shared" si="395"/>
        <v>0</v>
      </c>
      <c r="DU281" s="4">
        <f t="shared" si="396"/>
        <v>45385</v>
      </c>
      <c r="DV281" s="112">
        <f t="shared" si="397"/>
        <v>0</v>
      </c>
      <c r="DW281" s="112">
        <f t="shared" si="398"/>
        <v>0</v>
      </c>
    </row>
    <row r="282" spans="17:127" x14ac:dyDescent="0.25">
      <c r="Q282" s="4">
        <f t="shared" si="345"/>
        <v>45386</v>
      </c>
      <c r="R282" s="24">
        <f t="shared" si="346"/>
        <v>0</v>
      </c>
      <c r="S282" s="25">
        <f t="shared" si="347"/>
        <v>0</v>
      </c>
      <c r="T282" s="24">
        <f t="shared" si="348"/>
        <v>0</v>
      </c>
      <c r="U282" s="25">
        <f t="shared" si="349"/>
        <v>0</v>
      </c>
      <c r="V282" s="24">
        <f t="shared" si="350"/>
        <v>0</v>
      </c>
      <c r="W282" s="25">
        <f t="shared" si="351"/>
        <v>0</v>
      </c>
      <c r="X282" s="24">
        <f t="shared" si="352"/>
        <v>0</v>
      </c>
      <c r="Y282" s="26">
        <f t="shared" si="353"/>
        <v>0</v>
      </c>
      <c r="Z282" s="27">
        <f t="shared" si="354"/>
        <v>0</v>
      </c>
      <c r="AA282" s="28">
        <f t="shared" si="355"/>
        <v>45386</v>
      </c>
      <c r="AB282" s="24">
        <f t="shared" si="356"/>
        <v>0</v>
      </c>
      <c r="AC282" s="25">
        <f t="shared" si="357"/>
        <v>0</v>
      </c>
      <c r="AD282" s="28">
        <f t="shared" si="358"/>
        <v>45386</v>
      </c>
      <c r="AE282" s="24">
        <f t="shared" si="359"/>
        <v>0</v>
      </c>
      <c r="AF282" s="25">
        <f t="shared" si="360"/>
        <v>0</v>
      </c>
      <c r="AG282" s="28">
        <f t="shared" si="361"/>
        <v>45386</v>
      </c>
      <c r="AH282" s="24">
        <f t="shared" si="362"/>
        <v>0</v>
      </c>
      <c r="AI282" s="25">
        <f t="shared" si="363"/>
        <v>0</v>
      </c>
      <c r="AJ282" s="28">
        <f t="shared" si="364"/>
        <v>45386</v>
      </c>
      <c r="AK282" s="24">
        <f t="shared" si="365"/>
        <v>0</v>
      </c>
      <c r="AL282" s="25">
        <f t="shared" si="366"/>
        <v>0</v>
      </c>
      <c r="AM282" s="29">
        <f t="shared" si="367"/>
        <v>0</v>
      </c>
      <c r="AN282" s="28">
        <f t="shared" si="368"/>
        <v>45386</v>
      </c>
      <c r="AO282" s="373">
        <f t="shared" si="337"/>
        <v>0</v>
      </c>
      <c r="AP282" s="374">
        <f t="shared" si="338"/>
        <v>0</v>
      </c>
      <c r="AQ282" s="27">
        <f t="shared" si="339"/>
        <v>0</v>
      </c>
      <c r="AR282" s="25">
        <f t="shared" si="340"/>
        <v>0</v>
      </c>
      <c r="AS282" s="25">
        <f t="shared" si="341"/>
        <v>0</v>
      </c>
      <c r="AT282" s="25">
        <f t="shared" si="342"/>
        <v>0</v>
      </c>
      <c r="AU282" s="29">
        <f t="shared" si="399"/>
        <v>0</v>
      </c>
      <c r="AV282" s="27">
        <f t="shared" si="369"/>
        <v>0</v>
      </c>
      <c r="AW282" s="27">
        <f t="shared" si="370"/>
        <v>0</v>
      </c>
      <c r="AX282" s="27">
        <f t="shared" si="371"/>
        <v>0</v>
      </c>
      <c r="AY282" s="27">
        <f t="shared" si="372"/>
        <v>0</v>
      </c>
      <c r="BH282" s="2">
        <f t="shared" si="373"/>
        <v>0</v>
      </c>
      <c r="BI282" s="298" t="str">
        <f t="shared" si="374"/>
        <v/>
      </c>
      <c r="BJ282" s="298" t="str">
        <f t="shared" si="343"/>
        <v/>
      </c>
      <c r="BQ282" s="4">
        <f t="shared" si="375"/>
        <v>45386</v>
      </c>
      <c r="BR282" s="112">
        <f t="shared" si="376"/>
        <v>0</v>
      </c>
      <c r="BS282" s="112">
        <f t="shared" si="377"/>
        <v>0</v>
      </c>
      <c r="BT282" s="112">
        <f t="shared" si="378"/>
        <v>0</v>
      </c>
      <c r="BU282" s="112">
        <f t="shared" si="379"/>
        <v>0</v>
      </c>
      <c r="BV282" s="112">
        <f t="shared" si="380"/>
        <v>0</v>
      </c>
      <c r="CI282" s="4">
        <f t="shared" si="381"/>
        <v>45386</v>
      </c>
      <c r="CJ282" s="50">
        <f ca="1">IF($BH282=0,IF($CO282="",CJ281+R282,IF('283'!$K$251=1,VLOOKUP($CO282,PerStBal,2)+R282,IF('283'!$K$253=1,(VLOOKUP($CO282,PerPortion,2)*VLOOKUP($CO282,PerStBal,6))+R282,GL!BS282))),0)</f>
        <v>0</v>
      </c>
      <c r="CK282" s="425">
        <f ca="1">IF($BH282=0,IF($CO282="",CK281+T282,IF('283'!$K$251=1,IF(mname2&lt;&gt;"",VLOOKUP($CO282,PerStBal,3)+T282,0),IF('283'!$K$253=1,(VLOOKUP($CO282,PerPortion,3)*VLOOKUP($CO282,PerStBal,6))+T282,GL!BT282))),0)</f>
        <v>0</v>
      </c>
      <c r="CL282" s="425">
        <f ca="1">IF($BH282=0,IF($CO282="",CL281+V282,IF('283'!$K$251=1,IF(mname3&lt;&gt;"",VLOOKUP($CO282,PerStBal,4)+V282,0),IF('283'!$K$253=1,(VLOOKUP($CO282,PerPortion,4)*VLOOKUP($CO282,PerStBal,6))+V282,GL!BU282))),0)</f>
        <v>0</v>
      </c>
      <c r="CM282" s="425">
        <f ca="1">IF($BH282=0,IF($CO282="",CM281+X282,IF('283'!$K$251=1,IF(mname4&lt;&gt;"",VLOOKUP($CO282,PerStBal,5)+X282,0),IF('283'!$K$253=1,(VLOOKUP($CO282,PerPortion,5)*VLOOKUP($CO282,PerStBal,6))+X282,GL!BV282))),0)</f>
        <v>0</v>
      </c>
      <c r="CN282" s="50">
        <f t="shared" ca="1" si="382"/>
        <v>0</v>
      </c>
      <c r="CO282" s="4" t="str">
        <f t="shared" ca="1" si="383"/>
        <v/>
      </c>
      <c r="CP282" s="377">
        <f t="shared" si="344"/>
        <v>0</v>
      </c>
      <c r="DI282" s="4">
        <f t="shared" si="384"/>
        <v>45386</v>
      </c>
      <c r="DJ282" s="112">
        <f t="shared" ca="1" si="385"/>
        <v>0</v>
      </c>
      <c r="DK282" s="112">
        <f t="shared" si="386"/>
        <v>0</v>
      </c>
      <c r="DL282" s="4">
        <f t="shared" si="387"/>
        <v>45386</v>
      </c>
      <c r="DM282" s="112">
        <f t="shared" ca="1" si="388"/>
        <v>0</v>
      </c>
      <c r="DN282" s="112">
        <f t="shared" si="389"/>
        <v>0</v>
      </c>
      <c r="DO282" s="4">
        <f t="shared" si="390"/>
        <v>45386</v>
      </c>
      <c r="DP282" s="112">
        <f t="shared" ca="1" si="391"/>
        <v>0</v>
      </c>
      <c r="DQ282" s="112">
        <f t="shared" si="392"/>
        <v>0</v>
      </c>
      <c r="DR282" s="4">
        <f t="shared" si="393"/>
        <v>45386</v>
      </c>
      <c r="DS282" s="112">
        <f t="shared" ca="1" si="394"/>
        <v>0</v>
      </c>
      <c r="DT282" s="112">
        <f t="shared" si="395"/>
        <v>0</v>
      </c>
      <c r="DU282" s="4">
        <f t="shared" si="396"/>
        <v>45386</v>
      </c>
      <c r="DV282" s="112">
        <f t="shared" si="397"/>
        <v>0</v>
      </c>
      <c r="DW282" s="112">
        <f t="shared" si="398"/>
        <v>0</v>
      </c>
    </row>
    <row r="283" spans="17:127" x14ac:dyDescent="0.25">
      <c r="Q283" s="4">
        <f t="shared" si="345"/>
        <v>45387</v>
      </c>
      <c r="R283" s="24">
        <f t="shared" si="346"/>
        <v>0</v>
      </c>
      <c r="S283" s="25">
        <f t="shared" si="347"/>
        <v>0</v>
      </c>
      <c r="T283" s="24">
        <f t="shared" si="348"/>
        <v>0</v>
      </c>
      <c r="U283" s="25">
        <f t="shared" si="349"/>
        <v>0</v>
      </c>
      <c r="V283" s="24">
        <f t="shared" si="350"/>
        <v>0</v>
      </c>
      <c r="W283" s="25">
        <f t="shared" si="351"/>
        <v>0</v>
      </c>
      <c r="X283" s="24">
        <f t="shared" si="352"/>
        <v>0</v>
      </c>
      <c r="Y283" s="26">
        <f t="shared" si="353"/>
        <v>0</v>
      </c>
      <c r="Z283" s="27">
        <f t="shared" si="354"/>
        <v>0</v>
      </c>
      <c r="AA283" s="28">
        <f t="shared" si="355"/>
        <v>45387</v>
      </c>
      <c r="AB283" s="24">
        <f t="shared" si="356"/>
        <v>0</v>
      </c>
      <c r="AC283" s="25">
        <f t="shared" si="357"/>
        <v>0</v>
      </c>
      <c r="AD283" s="28">
        <f t="shared" si="358"/>
        <v>45387</v>
      </c>
      <c r="AE283" s="24">
        <f t="shared" si="359"/>
        <v>0</v>
      </c>
      <c r="AF283" s="25">
        <f t="shared" si="360"/>
        <v>0</v>
      </c>
      <c r="AG283" s="28">
        <f t="shared" si="361"/>
        <v>45387</v>
      </c>
      <c r="AH283" s="24">
        <f t="shared" si="362"/>
        <v>0</v>
      </c>
      <c r="AI283" s="25">
        <f t="shared" si="363"/>
        <v>0</v>
      </c>
      <c r="AJ283" s="28">
        <f t="shared" si="364"/>
        <v>45387</v>
      </c>
      <c r="AK283" s="24">
        <f t="shared" si="365"/>
        <v>0</v>
      </c>
      <c r="AL283" s="25">
        <f t="shared" si="366"/>
        <v>0</v>
      </c>
      <c r="AM283" s="29">
        <f t="shared" si="367"/>
        <v>0</v>
      </c>
      <c r="AN283" s="28">
        <f t="shared" si="368"/>
        <v>45387</v>
      </c>
      <c r="AO283" s="373">
        <f t="shared" si="337"/>
        <v>0</v>
      </c>
      <c r="AP283" s="374">
        <f t="shared" si="338"/>
        <v>0</v>
      </c>
      <c r="AQ283" s="27">
        <f t="shared" si="339"/>
        <v>0</v>
      </c>
      <c r="AR283" s="25">
        <f t="shared" si="340"/>
        <v>0</v>
      </c>
      <c r="AS283" s="25">
        <f t="shared" si="341"/>
        <v>0</v>
      </c>
      <c r="AT283" s="25">
        <f t="shared" si="342"/>
        <v>0</v>
      </c>
      <c r="AU283" s="29">
        <f t="shared" si="399"/>
        <v>0</v>
      </c>
      <c r="AV283" s="27">
        <f t="shared" si="369"/>
        <v>0</v>
      </c>
      <c r="AW283" s="27">
        <f t="shared" si="370"/>
        <v>0</v>
      </c>
      <c r="AX283" s="27">
        <f t="shared" si="371"/>
        <v>0</v>
      </c>
      <c r="AY283" s="27">
        <f t="shared" si="372"/>
        <v>0</v>
      </c>
      <c r="BH283" s="2">
        <f t="shared" si="373"/>
        <v>0</v>
      </c>
      <c r="BI283" s="298" t="str">
        <f t="shared" si="374"/>
        <v/>
      </c>
      <c r="BJ283" s="298" t="str">
        <f t="shared" si="343"/>
        <v/>
      </c>
      <c r="BQ283" s="4">
        <f t="shared" si="375"/>
        <v>45387</v>
      </c>
      <c r="BR283" s="112">
        <f t="shared" si="376"/>
        <v>0</v>
      </c>
      <c r="BS283" s="112">
        <f t="shared" si="377"/>
        <v>0</v>
      </c>
      <c r="BT283" s="112">
        <f t="shared" si="378"/>
        <v>0</v>
      </c>
      <c r="BU283" s="112">
        <f t="shared" si="379"/>
        <v>0</v>
      </c>
      <c r="BV283" s="112">
        <f t="shared" si="380"/>
        <v>0</v>
      </c>
      <c r="CI283" s="4">
        <f t="shared" si="381"/>
        <v>45387</v>
      </c>
      <c r="CJ283" s="50">
        <f ca="1">IF($BH283=0,IF($CO283="",CJ282+R283,IF('283'!$K$251=1,VLOOKUP($CO283,PerStBal,2)+R283,IF('283'!$K$253=1,(VLOOKUP($CO283,PerPortion,2)*VLOOKUP($CO283,PerStBal,6))+R283,GL!BS283))),0)</f>
        <v>0</v>
      </c>
      <c r="CK283" s="425">
        <f ca="1">IF($BH283=0,IF($CO283="",CK282+T283,IF('283'!$K$251=1,IF(mname2&lt;&gt;"",VLOOKUP($CO283,PerStBal,3)+T283,0),IF('283'!$K$253=1,(VLOOKUP($CO283,PerPortion,3)*VLOOKUP($CO283,PerStBal,6))+T283,GL!BT283))),0)</f>
        <v>0</v>
      </c>
      <c r="CL283" s="425">
        <f ca="1">IF($BH283=0,IF($CO283="",CL282+V283,IF('283'!$K$251=1,IF(mname3&lt;&gt;"",VLOOKUP($CO283,PerStBal,4)+V283,0),IF('283'!$K$253=1,(VLOOKUP($CO283,PerPortion,4)*VLOOKUP($CO283,PerStBal,6))+V283,GL!BU283))),0)</f>
        <v>0</v>
      </c>
      <c r="CM283" s="425">
        <f ca="1">IF($BH283=0,IF($CO283="",CM282+X283,IF('283'!$K$251=1,IF(mname4&lt;&gt;"",VLOOKUP($CO283,PerStBal,5)+X283,0),IF('283'!$K$253=1,(VLOOKUP($CO283,PerPortion,5)*VLOOKUP($CO283,PerStBal,6))+X283,GL!BV283))),0)</f>
        <v>0</v>
      </c>
      <c r="CN283" s="50">
        <f t="shared" ca="1" si="382"/>
        <v>0</v>
      </c>
      <c r="CO283" s="4" t="str">
        <f t="shared" ca="1" si="383"/>
        <v/>
      </c>
      <c r="CP283" s="377">
        <f t="shared" si="344"/>
        <v>0</v>
      </c>
      <c r="DI283" s="4">
        <f t="shared" si="384"/>
        <v>45387</v>
      </c>
      <c r="DJ283" s="112">
        <f t="shared" ca="1" si="385"/>
        <v>0</v>
      </c>
      <c r="DK283" s="112">
        <f t="shared" si="386"/>
        <v>0</v>
      </c>
      <c r="DL283" s="4">
        <f t="shared" si="387"/>
        <v>45387</v>
      </c>
      <c r="DM283" s="112">
        <f t="shared" ca="1" si="388"/>
        <v>0</v>
      </c>
      <c r="DN283" s="112">
        <f t="shared" si="389"/>
        <v>0</v>
      </c>
      <c r="DO283" s="4">
        <f t="shared" si="390"/>
        <v>45387</v>
      </c>
      <c r="DP283" s="112">
        <f t="shared" ca="1" si="391"/>
        <v>0</v>
      </c>
      <c r="DQ283" s="112">
        <f t="shared" si="392"/>
        <v>0</v>
      </c>
      <c r="DR283" s="4">
        <f t="shared" si="393"/>
        <v>45387</v>
      </c>
      <c r="DS283" s="112">
        <f t="shared" ca="1" si="394"/>
        <v>0</v>
      </c>
      <c r="DT283" s="112">
        <f t="shared" si="395"/>
        <v>0</v>
      </c>
      <c r="DU283" s="4">
        <f t="shared" si="396"/>
        <v>45387</v>
      </c>
      <c r="DV283" s="112">
        <f t="shared" si="397"/>
        <v>0</v>
      </c>
      <c r="DW283" s="112">
        <f t="shared" si="398"/>
        <v>0</v>
      </c>
    </row>
    <row r="284" spans="17:127" x14ac:dyDescent="0.25">
      <c r="Q284" s="4">
        <f t="shared" si="345"/>
        <v>45388</v>
      </c>
      <c r="R284" s="24">
        <f t="shared" si="346"/>
        <v>0</v>
      </c>
      <c r="S284" s="25">
        <f t="shared" si="347"/>
        <v>0</v>
      </c>
      <c r="T284" s="24">
        <f t="shared" si="348"/>
        <v>0</v>
      </c>
      <c r="U284" s="25">
        <f t="shared" si="349"/>
        <v>0</v>
      </c>
      <c r="V284" s="24">
        <f t="shared" si="350"/>
        <v>0</v>
      </c>
      <c r="W284" s="25">
        <f t="shared" si="351"/>
        <v>0</v>
      </c>
      <c r="X284" s="24">
        <f t="shared" si="352"/>
        <v>0</v>
      </c>
      <c r="Y284" s="26">
        <f t="shared" si="353"/>
        <v>0</v>
      </c>
      <c r="Z284" s="27">
        <f t="shared" si="354"/>
        <v>0</v>
      </c>
      <c r="AA284" s="28">
        <f t="shared" si="355"/>
        <v>45388</v>
      </c>
      <c r="AB284" s="24">
        <f t="shared" si="356"/>
        <v>0</v>
      </c>
      <c r="AC284" s="25">
        <f t="shared" si="357"/>
        <v>0</v>
      </c>
      <c r="AD284" s="28">
        <f t="shared" si="358"/>
        <v>45388</v>
      </c>
      <c r="AE284" s="24">
        <f t="shared" si="359"/>
        <v>0</v>
      </c>
      <c r="AF284" s="25">
        <f t="shared" si="360"/>
        <v>0</v>
      </c>
      <c r="AG284" s="28">
        <f t="shared" si="361"/>
        <v>45388</v>
      </c>
      <c r="AH284" s="24">
        <f t="shared" si="362"/>
        <v>0</v>
      </c>
      <c r="AI284" s="25">
        <f t="shared" si="363"/>
        <v>0</v>
      </c>
      <c r="AJ284" s="28">
        <f t="shared" si="364"/>
        <v>45388</v>
      </c>
      <c r="AK284" s="24">
        <f t="shared" si="365"/>
        <v>0</v>
      </c>
      <c r="AL284" s="25">
        <f t="shared" si="366"/>
        <v>0</v>
      </c>
      <c r="AM284" s="29">
        <f t="shared" si="367"/>
        <v>0</v>
      </c>
      <c r="AN284" s="28">
        <f t="shared" si="368"/>
        <v>45388</v>
      </c>
      <c r="AO284" s="373">
        <f t="shared" si="337"/>
        <v>0</v>
      </c>
      <c r="AP284" s="374">
        <f t="shared" si="338"/>
        <v>0</v>
      </c>
      <c r="AQ284" s="27">
        <f t="shared" si="339"/>
        <v>0</v>
      </c>
      <c r="AR284" s="25">
        <f t="shared" si="340"/>
        <v>0</v>
      </c>
      <c r="AS284" s="25">
        <f t="shared" si="341"/>
        <v>0</v>
      </c>
      <c r="AT284" s="25">
        <f t="shared" si="342"/>
        <v>0</v>
      </c>
      <c r="AU284" s="29">
        <f t="shared" si="399"/>
        <v>0</v>
      </c>
      <c r="AV284" s="27">
        <f t="shared" si="369"/>
        <v>0</v>
      </c>
      <c r="AW284" s="27">
        <f t="shared" si="370"/>
        <v>0</v>
      </c>
      <c r="AX284" s="27">
        <f t="shared" si="371"/>
        <v>0</v>
      </c>
      <c r="AY284" s="27">
        <f t="shared" si="372"/>
        <v>0</v>
      </c>
      <c r="BH284" s="2">
        <f t="shared" si="373"/>
        <v>0</v>
      </c>
      <c r="BI284" s="298" t="str">
        <f t="shared" si="374"/>
        <v/>
      </c>
      <c r="BJ284" s="298" t="str">
        <f t="shared" si="343"/>
        <v/>
      </c>
      <c r="BQ284" s="4">
        <f t="shared" si="375"/>
        <v>45388</v>
      </c>
      <c r="BR284" s="112">
        <f t="shared" si="376"/>
        <v>0</v>
      </c>
      <c r="BS284" s="112">
        <f t="shared" si="377"/>
        <v>0</v>
      </c>
      <c r="BT284" s="112">
        <f t="shared" si="378"/>
        <v>0</v>
      </c>
      <c r="BU284" s="112">
        <f t="shared" si="379"/>
        <v>0</v>
      </c>
      <c r="BV284" s="112">
        <f t="shared" si="380"/>
        <v>0</v>
      </c>
      <c r="CI284" s="4">
        <f t="shared" si="381"/>
        <v>45388</v>
      </c>
      <c r="CJ284" s="50">
        <f ca="1">IF($BH284=0,IF($CO284="",CJ283+R284,IF('283'!$K$251=1,VLOOKUP($CO284,PerStBal,2)+R284,IF('283'!$K$253=1,(VLOOKUP($CO284,PerPortion,2)*VLOOKUP($CO284,PerStBal,6))+R284,GL!BS284))),0)</f>
        <v>0</v>
      </c>
      <c r="CK284" s="425">
        <f ca="1">IF($BH284=0,IF($CO284="",CK283+T284,IF('283'!$K$251=1,IF(mname2&lt;&gt;"",VLOOKUP($CO284,PerStBal,3)+T284,0),IF('283'!$K$253=1,(VLOOKUP($CO284,PerPortion,3)*VLOOKUP($CO284,PerStBal,6))+T284,GL!BT284))),0)</f>
        <v>0</v>
      </c>
      <c r="CL284" s="425">
        <f ca="1">IF($BH284=0,IF($CO284="",CL283+V284,IF('283'!$K$251=1,IF(mname3&lt;&gt;"",VLOOKUP($CO284,PerStBal,4)+V284,0),IF('283'!$K$253=1,(VLOOKUP($CO284,PerPortion,4)*VLOOKUP($CO284,PerStBal,6))+V284,GL!BU284))),0)</f>
        <v>0</v>
      </c>
      <c r="CM284" s="425">
        <f ca="1">IF($BH284=0,IF($CO284="",CM283+X284,IF('283'!$K$251=1,IF(mname4&lt;&gt;"",VLOOKUP($CO284,PerStBal,5)+X284,0),IF('283'!$K$253=1,(VLOOKUP($CO284,PerPortion,5)*VLOOKUP($CO284,PerStBal,6))+X284,GL!BV284))),0)</f>
        <v>0</v>
      </c>
      <c r="CN284" s="50">
        <f t="shared" ca="1" si="382"/>
        <v>0</v>
      </c>
      <c r="CO284" s="4" t="str">
        <f t="shared" ca="1" si="383"/>
        <v/>
      </c>
      <c r="CP284" s="377">
        <f t="shared" si="344"/>
        <v>0</v>
      </c>
      <c r="DI284" s="4">
        <f t="shared" si="384"/>
        <v>45388</v>
      </c>
      <c r="DJ284" s="112">
        <f t="shared" ca="1" si="385"/>
        <v>0</v>
      </c>
      <c r="DK284" s="112">
        <f t="shared" si="386"/>
        <v>0</v>
      </c>
      <c r="DL284" s="4">
        <f t="shared" si="387"/>
        <v>45388</v>
      </c>
      <c r="DM284" s="112">
        <f t="shared" ca="1" si="388"/>
        <v>0</v>
      </c>
      <c r="DN284" s="112">
        <f t="shared" si="389"/>
        <v>0</v>
      </c>
      <c r="DO284" s="4">
        <f t="shared" si="390"/>
        <v>45388</v>
      </c>
      <c r="DP284" s="112">
        <f t="shared" ca="1" si="391"/>
        <v>0</v>
      </c>
      <c r="DQ284" s="112">
        <f t="shared" si="392"/>
        <v>0</v>
      </c>
      <c r="DR284" s="4">
        <f t="shared" si="393"/>
        <v>45388</v>
      </c>
      <c r="DS284" s="112">
        <f t="shared" ca="1" si="394"/>
        <v>0</v>
      </c>
      <c r="DT284" s="112">
        <f t="shared" si="395"/>
        <v>0</v>
      </c>
      <c r="DU284" s="4">
        <f t="shared" si="396"/>
        <v>45388</v>
      </c>
      <c r="DV284" s="112">
        <f t="shared" si="397"/>
        <v>0</v>
      </c>
      <c r="DW284" s="112">
        <f t="shared" si="398"/>
        <v>0</v>
      </c>
    </row>
    <row r="285" spans="17:127" x14ac:dyDescent="0.25">
      <c r="Q285" s="4">
        <f t="shared" si="345"/>
        <v>45389</v>
      </c>
      <c r="R285" s="24">
        <f t="shared" si="346"/>
        <v>0</v>
      </c>
      <c r="S285" s="25">
        <f t="shared" si="347"/>
        <v>0</v>
      </c>
      <c r="T285" s="24">
        <f t="shared" si="348"/>
        <v>0</v>
      </c>
      <c r="U285" s="25">
        <f t="shared" si="349"/>
        <v>0</v>
      </c>
      <c r="V285" s="24">
        <f t="shared" si="350"/>
        <v>0</v>
      </c>
      <c r="W285" s="25">
        <f t="shared" si="351"/>
        <v>0</v>
      </c>
      <c r="X285" s="24">
        <f t="shared" si="352"/>
        <v>0</v>
      </c>
      <c r="Y285" s="26">
        <f t="shared" si="353"/>
        <v>0</v>
      </c>
      <c r="Z285" s="27">
        <f t="shared" si="354"/>
        <v>0</v>
      </c>
      <c r="AA285" s="28">
        <f t="shared" si="355"/>
        <v>45389</v>
      </c>
      <c r="AB285" s="24">
        <f t="shared" si="356"/>
        <v>0</v>
      </c>
      <c r="AC285" s="25">
        <f t="shared" si="357"/>
        <v>0</v>
      </c>
      <c r="AD285" s="28">
        <f t="shared" si="358"/>
        <v>45389</v>
      </c>
      <c r="AE285" s="24">
        <f t="shared" si="359"/>
        <v>0</v>
      </c>
      <c r="AF285" s="25">
        <f t="shared" si="360"/>
        <v>0</v>
      </c>
      <c r="AG285" s="28">
        <f t="shared" si="361"/>
        <v>45389</v>
      </c>
      <c r="AH285" s="24">
        <f t="shared" si="362"/>
        <v>0</v>
      </c>
      <c r="AI285" s="25">
        <f t="shared" si="363"/>
        <v>0</v>
      </c>
      <c r="AJ285" s="28">
        <f t="shared" si="364"/>
        <v>45389</v>
      </c>
      <c r="AK285" s="24">
        <f t="shared" si="365"/>
        <v>0</v>
      </c>
      <c r="AL285" s="25">
        <f t="shared" si="366"/>
        <v>0</v>
      </c>
      <c r="AM285" s="29">
        <f t="shared" si="367"/>
        <v>0</v>
      </c>
      <c r="AN285" s="28">
        <f t="shared" si="368"/>
        <v>45389</v>
      </c>
      <c r="AO285" s="373">
        <f t="shared" si="337"/>
        <v>0</v>
      </c>
      <c r="AP285" s="374">
        <f t="shared" si="338"/>
        <v>0</v>
      </c>
      <c r="AQ285" s="27">
        <f t="shared" si="339"/>
        <v>0</v>
      </c>
      <c r="AR285" s="25">
        <f t="shared" si="340"/>
        <v>0</v>
      </c>
      <c r="AS285" s="25">
        <f t="shared" si="341"/>
        <v>0</v>
      </c>
      <c r="AT285" s="25">
        <f t="shared" si="342"/>
        <v>0</v>
      </c>
      <c r="AU285" s="29">
        <f t="shared" si="399"/>
        <v>0</v>
      </c>
      <c r="AV285" s="27">
        <f t="shared" si="369"/>
        <v>0</v>
      </c>
      <c r="AW285" s="27">
        <f t="shared" si="370"/>
        <v>0</v>
      </c>
      <c r="AX285" s="27">
        <f t="shared" si="371"/>
        <v>0</v>
      </c>
      <c r="AY285" s="27">
        <f t="shared" si="372"/>
        <v>0</v>
      </c>
      <c r="BH285" s="2">
        <f t="shared" si="373"/>
        <v>0</v>
      </c>
      <c r="BI285" s="298" t="str">
        <f t="shared" si="374"/>
        <v/>
      </c>
      <c r="BJ285" s="298" t="str">
        <f t="shared" si="343"/>
        <v/>
      </c>
      <c r="BQ285" s="4">
        <f t="shared" si="375"/>
        <v>45389</v>
      </c>
      <c r="BR285" s="112">
        <f t="shared" si="376"/>
        <v>0</v>
      </c>
      <c r="BS285" s="112">
        <f t="shared" si="377"/>
        <v>0</v>
      </c>
      <c r="BT285" s="112">
        <f t="shared" si="378"/>
        <v>0</v>
      </c>
      <c r="BU285" s="112">
        <f t="shared" si="379"/>
        <v>0</v>
      </c>
      <c r="BV285" s="112">
        <f t="shared" si="380"/>
        <v>0</v>
      </c>
      <c r="CI285" s="4">
        <f t="shared" si="381"/>
        <v>45389</v>
      </c>
      <c r="CJ285" s="50">
        <f ca="1">IF($BH285=0,IF($CO285="",CJ284+R285,IF('283'!$K$251=1,VLOOKUP($CO285,PerStBal,2)+R285,IF('283'!$K$253=1,(VLOOKUP($CO285,PerPortion,2)*VLOOKUP($CO285,PerStBal,6))+R285,GL!BS285))),0)</f>
        <v>0</v>
      </c>
      <c r="CK285" s="425">
        <f ca="1">IF($BH285=0,IF($CO285="",CK284+T285,IF('283'!$K$251=1,IF(mname2&lt;&gt;"",VLOOKUP($CO285,PerStBal,3)+T285,0),IF('283'!$K$253=1,(VLOOKUP($CO285,PerPortion,3)*VLOOKUP($CO285,PerStBal,6))+T285,GL!BT285))),0)</f>
        <v>0</v>
      </c>
      <c r="CL285" s="425">
        <f ca="1">IF($BH285=0,IF($CO285="",CL284+V285,IF('283'!$K$251=1,IF(mname3&lt;&gt;"",VLOOKUP($CO285,PerStBal,4)+V285,0),IF('283'!$K$253=1,(VLOOKUP($CO285,PerPortion,4)*VLOOKUP($CO285,PerStBal,6))+V285,GL!BU285))),0)</f>
        <v>0</v>
      </c>
      <c r="CM285" s="425">
        <f ca="1">IF($BH285=0,IF($CO285="",CM284+X285,IF('283'!$K$251=1,IF(mname4&lt;&gt;"",VLOOKUP($CO285,PerStBal,5)+X285,0),IF('283'!$K$253=1,(VLOOKUP($CO285,PerPortion,5)*VLOOKUP($CO285,PerStBal,6))+X285,GL!BV285))),0)</f>
        <v>0</v>
      </c>
      <c r="CN285" s="50">
        <f t="shared" ca="1" si="382"/>
        <v>0</v>
      </c>
      <c r="CO285" s="4" t="str">
        <f t="shared" ca="1" si="383"/>
        <v/>
      </c>
      <c r="CP285" s="377">
        <f t="shared" si="344"/>
        <v>0</v>
      </c>
      <c r="DI285" s="4">
        <f t="shared" si="384"/>
        <v>45389</v>
      </c>
      <c r="DJ285" s="112">
        <f t="shared" ca="1" si="385"/>
        <v>0</v>
      </c>
      <c r="DK285" s="112">
        <f t="shared" si="386"/>
        <v>0</v>
      </c>
      <c r="DL285" s="4">
        <f t="shared" si="387"/>
        <v>45389</v>
      </c>
      <c r="DM285" s="112">
        <f t="shared" ca="1" si="388"/>
        <v>0</v>
      </c>
      <c r="DN285" s="112">
        <f t="shared" si="389"/>
        <v>0</v>
      </c>
      <c r="DO285" s="4">
        <f t="shared" si="390"/>
        <v>45389</v>
      </c>
      <c r="DP285" s="112">
        <f t="shared" ca="1" si="391"/>
        <v>0</v>
      </c>
      <c r="DQ285" s="112">
        <f t="shared" si="392"/>
        <v>0</v>
      </c>
      <c r="DR285" s="4">
        <f t="shared" si="393"/>
        <v>45389</v>
      </c>
      <c r="DS285" s="112">
        <f t="shared" ca="1" si="394"/>
        <v>0</v>
      </c>
      <c r="DT285" s="112">
        <f t="shared" si="395"/>
        <v>0</v>
      </c>
      <c r="DU285" s="4">
        <f t="shared" si="396"/>
        <v>45389</v>
      </c>
      <c r="DV285" s="112">
        <f t="shared" si="397"/>
        <v>0</v>
      </c>
      <c r="DW285" s="112">
        <f t="shared" si="398"/>
        <v>0</v>
      </c>
    </row>
    <row r="286" spans="17:127" x14ac:dyDescent="0.25">
      <c r="Q286" s="4">
        <f t="shared" si="345"/>
        <v>45390</v>
      </c>
      <c r="R286" s="24">
        <f t="shared" si="346"/>
        <v>0</v>
      </c>
      <c r="S286" s="25">
        <f t="shared" si="347"/>
        <v>0</v>
      </c>
      <c r="T286" s="24">
        <f t="shared" si="348"/>
        <v>0</v>
      </c>
      <c r="U286" s="25">
        <f t="shared" si="349"/>
        <v>0</v>
      </c>
      <c r="V286" s="24">
        <f t="shared" si="350"/>
        <v>0</v>
      </c>
      <c r="W286" s="25">
        <f t="shared" si="351"/>
        <v>0</v>
      </c>
      <c r="X286" s="24">
        <f t="shared" si="352"/>
        <v>0</v>
      </c>
      <c r="Y286" s="26">
        <f t="shared" si="353"/>
        <v>0</v>
      </c>
      <c r="Z286" s="27">
        <f t="shared" si="354"/>
        <v>0</v>
      </c>
      <c r="AA286" s="28">
        <f t="shared" si="355"/>
        <v>45390</v>
      </c>
      <c r="AB286" s="24">
        <f t="shared" si="356"/>
        <v>0</v>
      </c>
      <c r="AC286" s="25">
        <f t="shared" si="357"/>
        <v>0</v>
      </c>
      <c r="AD286" s="28">
        <f t="shared" si="358"/>
        <v>45390</v>
      </c>
      <c r="AE286" s="24">
        <f t="shared" si="359"/>
        <v>0</v>
      </c>
      <c r="AF286" s="25">
        <f t="shared" si="360"/>
        <v>0</v>
      </c>
      <c r="AG286" s="28">
        <f t="shared" si="361"/>
        <v>45390</v>
      </c>
      <c r="AH286" s="24">
        <f t="shared" si="362"/>
        <v>0</v>
      </c>
      <c r="AI286" s="25">
        <f t="shared" si="363"/>
        <v>0</v>
      </c>
      <c r="AJ286" s="28">
        <f t="shared" si="364"/>
        <v>45390</v>
      </c>
      <c r="AK286" s="24">
        <f t="shared" si="365"/>
        <v>0</v>
      </c>
      <c r="AL286" s="25">
        <f t="shared" si="366"/>
        <v>0</v>
      </c>
      <c r="AM286" s="29">
        <f t="shared" si="367"/>
        <v>0</v>
      </c>
      <c r="AN286" s="28">
        <f t="shared" si="368"/>
        <v>45390</v>
      </c>
      <c r="AO286" s="373">
        <f t="shared" si="337"/>
        <v>0</v>
      </c>
      <c r="AP286" s="374">
        <f t="shared" si="338"/>
        <v>0</v>
      </c>
      <c r="AQ286" s="27">
        <f t="shared" si="339"/>
        <v>0</v>
      </c>
      <c r="AR286" s="25">
        <f t="shared" si="340"/>
        <v>0</v>
      </c>
      <c r="AS286" s="25">
        <f t="shared" si="341"/>
        <v>0</v>
      </c>
      <c r="AT286" s="25">
        <f t="shared" si="342"/>
        <v>0</v>
      </c>
      <c r="AU286" s="29">
        <f t="shared" si="399"/>
        <v>0</v>
      </c>
      <c r="AV286" s="27">
        <f t="shared" si="369"/>
        <v>0</v>
      </c>
      <c r="AW286" s="27">
        <f t="shared" si="370"/>
        <v>0</v>
      </c>
      <c r="AX286" s="27">
        <f t="shared" si="371"/>
        <v>0</v>
      </c>
      <c r="AY286" s="27">
        <f t="shared" si="372"/>
        <v>0</v>
      </c>
      <c r="BH286" s="2">
        <f t="shared" si="373"/>
        <v>0</v>
      </c>
      <c r="BI286" s="298" t="str">
        <f t="shared" si="374"/>
        <v/>
      </c>
      <c r="BJ286" s="298" t="str">
        <f t="shared" si="343"/>
        <v/>
      </c>
      <c r="BQ286" s="4">
        <f t="shared" si="375"/>
        <v>45390</v>
      </c>
      <c r="BR286" s="112">
        <f t="shared" si="376"/>
        <v>0</v>
      </c>
      <c r="BS286" s="112">
        <f t="shared" si="377"/>
        <v>0</v>
      </c>
      <c r="BT286" s="112">
        <f t="shared" si="378"/>
        <v>0</v>
      </c>
      <c r="BU286" s="112">
        <f t="shared" si="379"/>
        <v>0</v>
      </c>
      <c r="BV286" s="112">
        <f t="shared" si="380"/>
        <v>0</v>
      </c>
      <c r="CI286" s="4">
        <f t="shared" si="381"/>
        <v>45390</v>
      </c>
      <c r="CJ286" s="50">
        <f ca="1">IF($BH286=0,IF($CO286="",CJ285+R286,IF('283'!$K$251=1,VLOOKUP($CO286,PerStBal,2)+R286,IF('283'!$K$253=1,(VLOOKUP($CO286,PerPortion,2)*VLOOKUP($CO286,PerStBal,6))+R286,GL!BS286))),0)</f>
        <v>0</v>
      </c>
      <c r="CK286" s="425">
        <f ca="1">IF($BH286=0,IF($CO286="",CK285+T286,IF('283'!$K$251=1,IF(mname2&lt;&gt;"",VLOOKUP($CO286,PerStBal,3)+T286,0),IF('283'!$K$253=1,(VLOOKUP($CO286,PerPortion,3)*VLOOKUP($CO286,PerStBal,6))+T286,GL!BT286))),0)</f>
        <v>0</v>
      </c>
      <c r="CL286" s="425">
        <f ca="1">IF($BH286=0,IF($CO286="",CL285+V286,IF('283'!$K$251=1,IF(mname3&lt;&gt;"",VLOOKUP($CO286,PerStBal,4)+V286,0),IF('283'!$K$253=1,(VLOOKUP($CO286,PerPortion,4)*VLOOKUP($CO286,PerStBal,6))+V286,GL!BU286))),0)</f>
        <v>0</v>
      </c>
      <c r="CM286" s="425">
        <f ca="1">IF($BH286=0,IF($CO286="",CM285+X286,IF('283'!$K$251=1,IF(mname4&lt;&gt;"",VLOOKUP($CO286,PerStBal,5)+X286,0),IF('283'!$K$253=1,(VLOOKUP($CO286,PerPortion,5)*VLOOKUP($CO286,PerStBal,6))+X286,GL!BV286))),0)</f>
        <v>0</v>
      </c>
      <c r="CN286" s="50">
        <f t="shared" ca="1" si="382"/>
        <v>0</v>
      </c>
      <c r="CO286" s="4" t="str">
        <f t="shared" ca="1" si="383"/>
        <v/>
      </c>
      <c r="CP286" s="377">
        <f t="shared" si="344"/>
        <v>0</v>
      </c>
      <c r="DI286" s="4">
        <f t="shared" si="384"/>
        <v>45390</v>
      </c>
      <c r="DJ286" s="112">
        <f t="shared" ca="1" si="385"/>
        <v>0</v>
      </c>
      <c r="DK286" s="112">
        <f t="shared" si="386"/>
        <v>0</v>
      </c>
      <c r="DL286" s="4">
        <f t="shared" si="387"/>
        <v>45390</v>
      </c>
      <c r="DM286" s="112">
        <f t="shared" ca="1" si="388"/>
        <v>0</v>
      </c>
      <c r="DN286" s="112">
        <f t="shared" si="389"/>
        <v>0</v>
      </c>
      <c r="DO286" s="4">
        <f t="shared" si="390"/>
        <v>45390</v>
      </c>
      <c r="DP286" s="112">
        <f t="shared" ca="1" si="391"/>
        <v>0</v>
      </c>
      <c r="DQ286" s="112">
        <f t="shared" si="392"/>
        <v>0</v>
      </c>
      <c r="DR286" s="4">
        <f t="shared" si="393"/>
        <v>45390</v>
      </c>
      <c r="DS286" s="112">
        <f t="shared" ca="1" si="394"/>
        <v>0</v>
      </c>
      <c r="DT286" s="112">
        <f t="shared" si="395"/>
        <v>0</v>
      </c>
      <c r="DU286" s="4">
        <f t="shared" si="396"/>
        <v>45390</v>
      </c>
      <c r="DV286" s="112">
        <f t="shared" si="397"/>
        <v>0</v>
      </c>
      <c r="DW286" s="112">
        <f t="shared" si="398"/>
        <v>0</v>
      </c>
    </row>
    <row r="287" spans="17:127" x14ac:dyDescent="0.25">
      <c r="Q287" s="4">
        <f t="shared" si="345"/>
        <v>45391</v>
      </c>
      <c r="R287" s="24">
        <f t="shared" si="346"/>
        <v>0</v>
      </c>
      <c r="S287" s="25">
        <f t="shared" si="347"/>
        <v>0</v>
      </c>
      <c r="T287" s="24">
        <f t="shared" si="348"/>
        <v>0</v>
      </c>
      <c r="U287" s="25">
        <f t="shared" si="349"/>
        <v>0</v>
      </c>
      <c r="V287" s="24">
        <f t="shared" si="350"/>
        <v>0</v>
      </c>
      <c r="W287" s="25">
        <f t="shared" si="351"/>
        <v>0</v>
      </c>
      <c r="X287" s="24">
        <f t="shared" si="352"/>
        <v>0</v>
      </c>
      <c r="Y287" s="26">
        <f t="shared" si="353"/>
        <v>0</v>
      </c>
      <c r="Z287" s="27">
        <f t="shared" si="354"/>
        <v>0</v>
      </c>
      <c r="AA287" s="28">
        <f t="shared" si="355"/>
        <v>45391</v>
      </c>
      <c r="AB287" s="24">
        <f t="shared" si="356"/>
        <v>0</v>
      </c>
      <c r="AC287" s="25">
        <f t="shared" si="357"/>
        <v>0</v>
      </c>
      <c r="AD287" s="28">
        <f t="shared" si="358"/>
        <v>45391</v>
      </c>
      <c r="AE287" s="24">
        <f t="shared" si="359"/>
        <v>0</v>
      </c>
      <c r="AF287" s="25">
        <f t="shared" si="360"/>
        <v>0</v>
      </c>
      <c r="AG287" s="28">
        <f t="shared" si="361"/>
        <v>45391</v>
      </c>
      <c r="AH287" s="24">
        <f t="shared" si="362"/>
        <v>0</v>
      </c>
      <c r="AI287" s="25">
        <f t="shared" si="363"/>
        <v>0</v>
      </c>
      <c r="AJ287" s="28">
        <f t="shared" si="364"/>
        <v>45391</v>
      </c>
      <c r="AK287" s="24">
        <f t="shared" si="365"/>
        <v>0</v>
      </c>
      <c r="AL287" s="25">
        <f t="shared" si="366"/>
        <v>0</v>
      </c>
      <c r="AM287" s="29">
        <f t="shared" si="367"/>
        <v>0</v>
      </c>
      <c r="AN287" s="28">
        <f t="shared" si="368"/>
        <v>45391</v>
      </c>
      <c r="AO287" s="373">
        <f t="shared" si="337"/>
        <v>0</v>
      </c>
      <c r="AP287" s="374">
        <f t="shared" si="338"/>
        <v>0</v>
      </c>
      <c r="AQ287" s="27">
        <f t="shared" si="339"/>
        <v>0</v>
      </c>
      <c r="AR287" s="25">
        <f t="shared" si="340"/>
        <v>0</v>
      </c>
      <c r="AS287" s="25">
        <f t="shared" si="341"/>
        <v>0</v>
      </c>
      <c r="AT287" s="25">
        <f t="shared" si="342"/>
        <v>0</v>
      </c>
      <c r="AU287" s="29">
        <f t="shared" si="399"/>
        <v>0</v>
      </c>
      <c r="AV287" s="27">
        <f t="shared" si="369"/>
        <v>0</v>
      </c>
      <c r="AW287" s="27">
        <f t="shared" si="370"/>
        <v>0</v>
      </c>
      <c r="AX287" s="27">
        <f t="shared" si="371"/>
        <v>0</v>
      </c>
      <c r="AY287" s="27">
        <f t="shared" si="372"/>
        <v>0</v>
      </c>
      <c r="BH287" s="2">
        <f t="shared" si="373"/>
        <v>0</v>
      </c>
      <c r="BI287" s="298" t="str">
        <f t="shared" si="374"/>
        <v/>
      </c>
      <c r="BJ287" s="298" t="str">
        <f t="shared" si="343"/>
        <v/>
      </c>
      <c r="BQ287" s="4">
        <f t="shared" si="375"/>
        <v>45391</v>
      </c>
      <c r="BR287" s="112">
        <f t="shared" si="376"/>
        <v>0</v>
      </c>
      <c r="BS287" s="112">
        <f t="shared" si="377"/>
        <v>0</v>
      </c>
      <c r="BT287" s="112">
        <f t="shared" si="378"/>
        <v>0</v>
      </c>
      <c r="BU287" s="112">
        <f t="shared" si="379"/>
        <v>0</v>
      </c>
      <c r="BV287" s="112">
        <f t="shared" si="380"/>
        <v>0</v>
      </c>
      <c r="CI287" s="4">
        <f t="shared" si="381"/>
        <v>45391</v>
      </c>
      <c r="CJ287" s="50">
        <f ca="1">IF($BH287=0,IF($CO287="",CJ286+R287,IF('283'!$K$251=1,VLOOKUP($CO287,PerStBal,2)+R287,IF('283'!$K$253=1,(VLOOKUP($CO287,PerPortion,2)*VLOOKUP($CO287,PerStBal,6))+R287,GL!BS287))),0)</f>
        <v>0</v>
      </c>
      <c r="CK287" s="425">
        <f ca="1">IF($BH287=0,IF($CO287="",CK286+T287,IF('283'!$K$251=1,IF(mname2&lt;&gt;"",VLOOKUP($CO287,PerStBal,3)+T287,0),IF('283'!$K$253=1,(VLOOKUP($CO287,PerPortion,3)*VLOOKUP($CO287,PerStBal,6))+T287,GL!BT287))),0)</f>
        <v>0</v>
      </c>
      <c r="CL287" s="425">
        <f ca="1">IF($BH287=0,IF($CO287="",CL286+V287,IF('283'!$K$251=1,IF(mname3&lt;&gt;"",VLOOKUP($CO287,PerStBal,4)+V287,0),IF('283'!$K$253=1,(VLOOKUP($CO287,PerPortion,4)*VLOOKUP($CO287,PerStBal,6))+V287,GL!BU287))),0)</f>
        <v>0</v>
      </c>
      <c r="CM287" s="425">
        <f ca="1">IF($BH287=0,IF($CO287="",CM286+X287,IF('283'!$K$251=1,IF(mname4&lt;&gt;"",VLOOKUP($CO287,PerStBal,5)+X287,0),IF('283'!$K$253=1,(VLOOKUP($CO287,PerPortion,5)*VLOOKUP($CO287,PerStBal,6))+X287,GL!BV287))),0)</f>
        <v>0</v>
      </c>
      <c r="CN287" s="50">
        <f t="shared" ca="1" si="382"/>
        <v>0</v>
      </c>
      <c r="CO287" s="4" t="str">
        <f t="shared" ca="1" si="383"/>
        <v/>
      </c>
      <c r="CP287" s="377">
        <f t="shared" si="344"/>
        <v>0</v>
      </c>
      <c r="DI287" s="4">
        <f t="shared" si="384"/>
        <v>45391</v>
      </c>
      <c r="DJ287" s="112">
        <f t="shared" ca="1" si="385"/>
        <v>0</v>
      </c>
      <c r="DK287" s="112">
        <f t="shared" si="386"/>
        <v>0</v>
      </c>
      <c r="DL287" s="4">
        <f t="shared" si="387"/>
        <v>45391</v>
      </c>
      <c r="DM287" s="112">
        <f t="shared" ca="1" si="388"/>
        <v>0</v>
      </c>
      <c r="DN287" s="112">
        <f t="shared" si="389"/>
        <v>0</v>
      </c>
      <c r="DO287" s="4">
        <f t="shared" si="390"/>
        <v>45391</v>
      </c>
      <c r="DP287" s="112">
        <f t="shared" ca="1" si="391"/>
        <v>0</v>
      </c>
      <c r="DQ287" s="112">
        <f t="shared" si="392"/>
        <v>0</v>
      </c>
      <c r="DR287" s="4">
        <f t="shared" si="393"/>
        <v>45391</v>
      </c>
      <c r="DS287" s="112">
        <f t="shared" ca="1" si="394"/>
        <v>0</v>
      </c>
      <c r="DT287" s="112">
        <f t="shared" si="395"/>
        <v>0</v>
      </c>
      <c r="DU287" s="4">
        <f t="shared" si="396"/>
        <v>45391</v>
      </c>
      <c r="DV287" s="112">
        <f t="shared" si="397"/>
        <v>0</v>
      </c>
      <c r="DW287" s="112">
        <f t="shared" si="398"/>
        <v>0</v>
      </c>
    </row>
    <row r="288" spans="17:127" x14ac:dyDescent="0.25">
      <c r="Q288" s="4">
        <f t="shared" si="345"/>
        <v>45392</v>
      </c>
      <c r="R288" s="24">
        <f t="shared" si="346"/>
        <v>0</v>
      </c>
      <c r="S288" s="25">
        <f t="shared" si="347"/>
        <v>0</v>
      </c>
      <c r="T288" s="24">
        <f t="shared" si="348"/>
        <v>0</v>
      </c>
      <c r="U288" s="25">
        <f t="shared" si="349"/>
        <v>0</v>
      </c>
      <c r="V288" s="24">
        <f t="shared" si="350"/>
        <v>0</v>
      </c>
      <c r="W288" s="25">
        <f t="shared" si="351"/>
        <v>0</v>
      </c>
      <c r="X288" s="24">
        <f t="shared" si="352"/>
        <v>0</v>
      </c>
      <c r="Y288" s="26">
        <f t="shared" si="353"/>
        <v>0</v>
      </c>
      <c r="Z288" s="27">
        <f t="shared" si="354"/>
        <v>0</v>
      </c>
      <c r="AA288" s="28">
        <f t="shared" si="355"/>
        <v>45392</v>
      </c>
      <c r="AB288" s="24">
        <f t="shared" si="356"/>
        <v>0</v>
      </c>
      <c r="AC288" s="25">
        <f t="shared" si="357"/>
        <v>0</v>
      </c>
      <c r="AD288" s="28">
        <f t="shared" si="358"/>
        <v>45392</v>
      </c>
      <c r="AE288" s="24">
        <f t="shared" si="359"/>
        <v>0</v>
      </c>
      <c r="AF288" s="25">
        <f t="shared" si="360"/>
        <v>0</v>
      </c>
      <c r="AG288" s="28">
        <f t="shared" si="361"/>
        <v>45392</v>
      </c>
      <c r="AH288" s="24">
        <f t="shared" si="362"/>
        <v>0</v>
      </c>
      <c r="AI288" s="25">
        <f t="shared" si="363"/>
        <v>0</v>
      </c>
      <c r="AJ288" s="28">
        <f t="shared" si="364"/>
        <v>45392</v>
      </c>
      <c r="AK288" s="24">
        <f t="shared" si="365"/>
        <v>0</v>
      </c>
      <c r="AL288" s="25">
        <f t="shared" si="366"/>
        <v>0</v>
      </c>
      <c r="AM288" s="29">
        <f t="shared" si="367"/>
        <v>0</v>
      </c>
      <c r="AN288" s="28">
        <f t="shared" si="368"/>
        <v>45392</v>
      </c>
      <c r="AO288" s="373">
        <f t="shared" si="337"/>
        <v>0</v>
      </c>
      <c r="AP288" s="374">
        <f t="shared" si="338"/>
        <v>0</v>
      </c>
      <c r="AQ288" s="27">
        <f t="shared" si="339"/>
        <v>0</v>
      </c>
      <c r="AR288" s="25">
        <f t="shared" si="340"/>
        <v>0</v>
      </c>
      <c r="AS288" s="25">
        <f t="shared" si="341"/>
        <v>0</v>
      </c>
      <c r="AT288" s="25">
        <f t="shared" si="342"/>
        <v>0</v>
      </c>
      <c r="AU288" s="29">
        <f t="shared" si="399"/>
        <v>0</v>
      </c>
      <c r="AV288" s="27">
        <f t="shared" si="369"/>
        <v>0</v>
      </c>
      <c r="AW288" s="27">
        <f t="shared" si="370"/>
        <v>0</v>
      </c>
      <c r="AX288" s="27">
        <f t="shared" si="371"/>
        <v>0</v>
      </c>
      <c r="AY288" s="27">
        <f t="shared" si="372"/>
        <v>0</v>
      </c>
      <c r="BH288" s="2">
        <f t="shared" si="373"/>
        <v>0</v>
      </c>
      <c r="BI288" s="298" t="str">
        <f t="shared" si="374"/>
        <v/>
      </c>
      <c r="BJ288" s="298" t="str">
        <f t="shared" si="343"/>
        <v/>
      </c>
      <c r="BQ288" s="4">
        <f t="shared" si="375"/>
        <v>45392</v>
      </c>
      <c r="BR288" s="112">
        <f t="shared" si="376"/>
        <v>0</v>
      </c>
      <c r="BS288" s="112">
        <f t="shared" si="377"/>
        <v>0</v>
      </c>
      <c r="BT288" s="112">
        <f t="shared" si="378"/>
        <v>0</v>
      </c>
      <c r="BU288" s="112">
        <f t="shared" si="379"/>
        <v>0</v>
      </c>
      <c r="BV288" s="112">
        <f t="shared" si="380"/>
        <v>0</v>
      </c>
      <c r="CI288" s="4">
        <f t="shared" si="381"/>
        <v>45392</v>
      </c>
      <c r="CJ288" s="50">
        <f ca="1">IF($BH288=0,IF($CO288="",CJ287+R288,IF('283'!$K$251=1,VLOOKUP($CO288,PerStBal,2)+R288,IF('283'!$K$253=1,(VLOOKUP($CO288,PerPortion,2)*VLOOKUP($CO288,PerStBal,6))+R288,GL!BS288))),0)</f>
        <v>0</v>
      </c>
      <c r="CK288" s="425">
        <f ca="1">IF($BH288=0,IF($CO288="",CK287+T288,IF('283'!$K$251=1,IF(mname2&lt;&gt;"",VLOOKUP($CO288,PerStBal,3)+T288,0),IF('283'!$K$253=1,(VLOOKUP($CO288,PerPortion,3)*VLOOKUP($CO288,PerStBal,6))+T288,GL!BT288))),0)</f>
        <v>0</v>
      </c>
      <c r="CL288" s="425">
        <f ca="1">IF($BH288=0,IF($CO288="",CL287+V288,IF('283'!$K$251=1,IF(mname3&lt;&gt;"",VLOOKUP($CO288,PerStBal,4)+V288,0),IF('283'!$K$253=1,(VLOOKUP($CO288,PerPortion,4)*VLOOKUP($CO288,PerStBal,6))+V288,GL!BU288))),0)</f>
        <v>0</v>
      </c>
      <c r="CM288" s="425">
        <f ca="1">IF($BH288=0,IF($CO288="",CM287+X288,IF('283'!$K$251=1,IF(mname4&lt;&gt;"",VLOOKUP($CO288,PerStBal,5)+X288,0),IF('283'!$K$253=1,(VLOOKUP($CO288,PerPortion,5)*VLOOKUP($CO288,PerStBal,6))+X288,GL!BV288))),0)</f>
        <v>0</v>
      </c>
      <c r="CN288" s="50">
        <f t="shared" ca="1" si="382"/>
        <v>0</v>
      </c>
      <c r="CO288" s="4" t="str">
        <f t="shared" ca="1" si="383"/>
        <v/>
      </c>
      <c r="CP288" s="377">
        <f t="shared" si="344"/>
        <v>0</v>
      </c>
      <c r="DI288" s="4">
        <f t="shared" si="384"/>
        <v>45392</v>
      </c>
      <c r="DJ288" s="112">
        <f t="shared" ca="1" si="385"/>
        <v>0</v>
      </c>
      <c r="DK288" s="112">
        <f t="shared" si="386"/>
        <v>0</v>
      </c>
      <c r="DL288" s="4">
        <f t="shared" si="387"/>
        <v>45392</v>
      </c>
      <c r="DM288" s="112">
        <f t="shared" ca="1" si="388"/>
        <v>0</v>
      </c>
      <c r="DN288" s="112">
        <f t="shared" si="389"/>
        <v>0</v>
      </c>
      <c r="DO288" s="4">
        <f t="shared" si="390"/>
        <v>45392</v>
      </c>
      <c r="DP288" s="112">
        <f t="shared" ca="1" si="391"/>
        <v>0</v>
      </c>
      <c r="DQ288" s="112">
        <f t="shared" si="392"/>
        <v>0</v>
      </c>
      <c r="DR288" s="4">
        <f t="shared" si="393"/>
        <v>45392</v>
      </c>
      <c r="DS288" s="112">
        <f t="shared" ca="1" si="394"/>
        <v>0</v>
      </c>
      <c r="DT288" s="112">
        <f t="shared" si="395"/>
        <v>0</v>
      </c>
      <c r="DU288" s="4">
        <f t="shared" si="396"/>
        <v>45392</v>
      </c>
      <c r="DV288" s="112">
        <f t="shared" si="397"/>
        <v>0</v>
      </c>
      <c r="DW288" s="112">
        <f t="shared" si="398"/>
        <v>0</v>
      </c>
    </row>
    <row r="289" spans="17:127" x14ac:dyDescent="0.25">
      <c r="Q289" s="4">
        <f t="shared" si="345"/>
        <v>45393</v>
      </c>
      <c r="R289" s="24">
        <f t="shared" si="346"/>
        <v>0</v>
      </c>
      <c r="S289" s="25">
        <f t="shared" si="347"/>
        <v>0</v>
      </c>
      <c r="T289" s="24">
        <f t="shared" si="348"/>
        <v>0</v>
      </c>
      <c r="U289" s="25">
        <f t="shared" si="349"/>
        <v>0</v>
      </c>
      <c r="V289" s="24">
        <f t="shared" si="350"/>
        <v>0</v>
      </c>
      <c r="W289" s="25">
        <f t="shared" si="351"/>
        <v>0</v>
      </c>
      <c r="X289" s="24">
        <f t="shared" si="352"/>
        <v>0</v>
      </c>
      <c r="Y289" s="26">
        <f t="shared" si="353"/>
        <v>0</v>
      </c>
      <c r="Z289" s="27">
        <f t="shared" si="354"/>
        <v>0</v>
      </c>
      <c r="AA289" s="28">
        <f t="shared" si="355"/>
        <v>45393</v>
      </c>
      <c r="AB289" s="24">
        <f t="shared" si="356"/>
        <v>0</v>
      </c>
      <c r="AC289" s="25">
        <f t="shared" si="357"/>
        <v>0</v>
      </c>
      <c r="AD289" s="28">
        <f t="shared" si="358"/>
        <v>45393</v>
      </c>
      <c r="AE289" s="24">
        <f t="shared" si="359"/>
        <v>0</v>
      </c>
      <c r="AF289" s="25">
        <f t="shared" si="360"/>
        <v>0</v>
      </c>
      <c r="AG289" s="28">
        <f t="shared" si="361"/>
        <v>45393</v>
      </c>
      <c r="AH289" s="24">
        <f t="shared" si="362"/>
        <v>0</v>
      </c>
      <c r="AI289" s="25">
        <f t="shared" si="363"/>
        <v>0</v>
      </c>
      <c r="AJ289" s="28">
        <f t="shared" si="364"/>
        <v>45393</v>
      </c>
      <c r="AK289" s="24">
        <f t="shared" si="365"/>
        <v>0</v>
      </c>
      <c r="AL289" s="25">
        <f t="shared" si="366"/>
        <v>0</v>
      </c>
      <c r="AM289" s="29">
        <f t="shared" si="367"/>
        <v>0</v>
      </c>
      <c r="AN289" s="28">
        <f t="shared" si="368"/>
        <v>45393</v>
      </c>
      <c r="AO289" s="373">
        <f t="shared" si="337"/>
        <v>0</v>
      </c>
      <c r="AP289" s="374">
        <f t="shared" si="338"/>
        <v>0</v>
      </c>
      <c r="AQ289" s="27">
        <f t="shared" si="339"/>
        <v>0</v>
      </c>
      <c r="AR289" s="25">
        <f t="shared" si="340"/>
        <v>0</v>
      </c>
      <c r="AS289" s="25">
        <f t="shared" si="341"/>
        <v>0</v>
      </c>
      <c r="AT289" s="25">
        <f t="shared" si="342"/>
        <v>0</v>
      </c>
      <c r="AU289" s="29">
        <f t="shared" si="399"/>
        <v>0</v>
      </c>
      <c r="AV289" s="27">
        <f t="shared" si="369"/>
        <v>0</v>
      </c>
      <c r="AW289" s="27">
        <f t="shared" si="370"/>
        <v>0</v>
      </c>
      <c r="AX289" s="27">
        <f t="shared" si="371"/>
        <v>0</v>
      </c>
      <c r="AY289" s="27">
        <f t="shared" si="372"/>
        <v>0</v>
      </c>
      <c r="BH289" s="2">
        <f t="shared" si="373"/>
        <v>0</v>
      </c>
      <c r="BI289" s="298" t="str">
        <f t="shared" si="374"/>
        <v/>
      </c>
      <c r="BJ289" s="298" t="str">
        <f t="shared" si="343"/>
        <v/>
      </c>
      <c r="BQ289" s="4">
        <f t="shared" si="375"/>
        <v>45393</v>
      </c>
      <c r="BR289" s="112">
        <f t="shared" si="376"/>
        <v>0</v>
      </c>
      <c r="BS289" s="112">
        <f t="shared" si="377"/>
        <v>0</v>
      </c>
      <c r="BT289" s="112">
        <f t="shared" si="378"/>
        <v>0</v>
      </c>
      <c r="BU289" s="112">
        <f t="shared" si="379"/>
        <v>0</v>
      </c>
      <c r="BV289" s="112">
        <f t="shared" si="380"/>
        <v>0</v>
      </c>
      <c r="CI289" s="4">
        <f t="shared" si="381"/>
        <v>45393</v>
      </c>
      <c r="CJ289" s="50">
        <f ca="1">IF($BH289=0,IF($CO289="",CJ288+R289,IF('283'!$K$251=1,VLOOKUP($CO289,PerStBal,2)+R289,IF('283'!$K$253=1,(VLOOKUP($CO289,PerPortion,2)*VLOOKUP($CO289,PerStBal,6))+R289,GL!BS289))),0)</f>
        <v>0</v>
      </c>
      <c r="CK289" s="425">
        <f ca="1">IF($BH289=0,IF($CO289="",CK288+T289,IF('283'!$K$251=1,IF(mname2&lt;&gt;"",VLOOKUP($CO289,PerStBal,3)+T289,0),IF('283'!$K$253=1,(VLOOKUP($CO289,PerPortion,3)*VLOOKUP($CO289,PerStBal,6))+T289,GL!BT289))),0)</f>
        <v>0</v>
      </c>
      <c r="CL289" s="425">
        <f ca="1">IF($BH289=0,IF($CO289="",CL288+V289,IF('283'!$K$251=1,IF(mname3&lt;&gt;"",VLOOKUP($CO289,PerStBal,4)+V289,0),IF('283'!$K$253=1,(VLOOKUP($CO289,PerPortion,4)*VLOOKUP($CO289,PerStBal,6))+V289,GL!BU289))),0)</f>
        <v>0</v>
      </c>
      <c r="CM289" s="425">
        <f ca="1">IF($BH289=0,IF($CO289="",CM288+X289,IF('283'!$K$251=1,IF(mname4&lt;&gt;"",VLOOKUP($CO289,PerStBal,5)+X289,0),IF('283'!$K$253=1,(VLOOKUP($CO289,PerPortion,5)*VLOOKUP($CO289,PerStBal,6))+X289,GL!BV289))),0)</f>
        <v>0</v>
      </c>
      <c r="CN289" s="50">
        <f t="shared" ca="1" si="382"/>
        <v>0</v>
      </c>
      <c r="CO289" s="4" t="str">
        <f t="shared" ca="1" si="383"/>
        <v/>
      </c>
      <c r="CP289" s="377">
        <f t="shared" si="344"/>
        <v>0</v>
      </c>
      <c r="DI289" s="4">
        <f t="shared" si="384"/>
        <v>45393</v>
      </c>
      <c r="DJ289" s="112">
        <f t="shared" ca="1" si="385"/>
        <v>0</v>
      </c>
      <c r="DK289" s="112">
        <f t="shared" si="386"/>
        <v>0</v>
      </c>
      <c r="DL289" s="4">
        <f t="shared" si="387"/>
        <v>45393</v>
      </c>
      <c r="DM289" s="112">
        <f t="shared" ca="1" si="388"/>
        <v>0</v>
      </c>
      <c r="DN289" s="112">
        <f t="shared" si="389"/>
        <v>0</v>
      </c>
      <c r="DO289" s="4">
        <f t="shared" si="390"/>
        <v>45393</v>
      </c>
      <c r="DP289" s="112">
        <f t="shared" ca="1" si="391"/>
        <v>0</v>
      </c>
      <c r="DQ289" s="112">
        <f t="shared" si="392"/>
        <v>0</v>
      </c>
      <c r="DR289" s="4">
        <f t="shared" si="393"/>
        <v>45393</v>
      </c>
      <c r="DS289" s="112">
        <f t="shared" ca="1" si="394"/>
        <v>0</v>
      </c>
      <c r="DT289" s="112">
        <f t="shared" si="395"/>
        <v>0</v>
      </c>
      <c r="DU289" s="4">
        <f t="shared" si="396"/>
        <v>45393</v>
      </c>
      <c r="DV289" s="112">
        <f t="shared" si="397"/>
        <v>0</v>
      </c>
      <c r="DW289" s="112">
        <f t="shared" si="398"/>
        <v>0</v>
      </c>
    </row>
    <row r="290" spans="17:127" x14ac:dyDescent="0.25">
      <c r="Q290" s="4">
        <f t="shared" si="345"/>
        <v>45394</v>
      </c>
      <c r="R290" s="24">
        <f t="shared" si="346"/>
        <v>0</v>
      </c>
      <c r="S290" s="25">
        <f t="shared" si="347"/>
        <v>0</v>
      </c>
      <c r="T290" s="24">
        <f t="shared" si="348"/>
        <v>0</v>
      </c>
      <c r="U290" s="25">
        <f t="shared" si="349"/>
        <v>0</v>
      </c>
      <c r="V290" s="24">
        <f t="shared" si="350"/>
        <v>0</v>
      </c>
      <c r="W290" s="25">
        <f t="shared" si="351"/>
        <v>0</v>
      </c>
      <c r="X290" s="24">
        <f t="shared" si="352"/>
        <v>0</v>
      </c>
      <c r="Y290" s="26">
        <f t="shared" si="353"/>
        <v>0</v>
      </c>
      <c r="Z290" s="27">
        <f t="shared" si="354"/>
        <v>0</v>
      </c>
      <c r="AA290" s="28">
        <f t="shared" si="355"/>
        <v>45394</v>
      </c>
      <c r="AB290" s="24">
        <f t="shared" si="356"/>
        <v>0</v>
      </c>
      <c r="AC290" s="25">
        <f t="shared" si="357"/>
        <v>0</v>
      </c>
      <c r="AD290" s="28">
        <f t="shared" si="358"/>
        <v>45394</v>
      </c>
      <c r="AE290" s="24">
        <f t="shared" si="359"/>
        <v>0</v>
      </c>
      <c r="AF290" s="25">
        <f t="shared" si="360"/>
        <v>0</v>
      </c>
      <c r="AG290" s="28">
        <f t="shared" si="361"/>
        <v>45394</v>
      </c>
      <c r="AH290" s="24">
        <f t="shared" si="362"/>
        <v>0</v>
      </c>
      <c r="AI290" s="25">
        <f t="shared" si="363"/>
        <v>0</v>
      </c>
      <c r="AJ290" s="28">
        <f t="shared" si="364"/>
        <v>45394</v>
      </c>
      <c r="AK290" s="24">
        <f t="shared" si="365"/>
        <v>0</v>
      </c>
      <c r="AL290" s="25">
        <f t="shared" si="366"/>
        <v>0</v>
      </c>
      <c r="AM290" s="29">
        <f t="shared" si="367"/>
        <v>0</v>
      </c>
      <c r="AN290" s="28">
        <f t="shared" si="368"/>
        <v>45394</v>
      </c>
      <c r="AO290" s="373">
        <f t="shared" si="337"/>
        <v>0</v>
      </c>
      <c r="AP290" s="374">
        <f t="shared" si="338"/>
        <v>0</v>
      </c>
      <c r="AQ290" s="27">
        <f t="shared" si="339"/>
        <v>0</v>
      </c>
      <c r="AR290" s="25">
        <f t="shared" si="340"/>
        <v>0</v>
      </c>
      <c r="AS290" s="25">
        <f t="shared" si="341"/>
        <v>0</v>
      </c>
      <c r="AT290" s="25">
        <f t="shared" si="342"/>
        <v>0</v>
      </c>
      <c r="AU290" s="29">
        <f t="shared" si="399"/>
        <v>0</v>
      </c>
      <c r="AV290" s="27">
        <f t="shared" si="369"/>
        <v>0</v>
      </c>
      <c r="AW290" s="27">
        <f t="shared" si="370"/>
        <v>0</v>
      </c>
      <c r="AX290" s="27">
        <f t="shared" si="371"/>
        <v>0</v>
      </c>
      <c r="AY290" s="27">
        <f t="shared" si="372"/>
        <v>0</v>
      </c>
      <c r="BH290" s="2">
        <f t="shared" si="373"/>
        <v>0</v>
      </c>
      <c r="BI290" s="298" t="str">
        <f t="shared" si="374"/>
        <v/>
      </c>
      <c r="BJ290" s="298" t="str">
        <f t="shared" si="343"/>
        <v/>
      </c>
      <c r="BQ290" s="4">
        <f t="shared" si="375"/>
        <v>45394</v>
      </c>
      <c r="BR290" s="112">
        <f t="shared" si="376"/>
        <v>0</v>
      </c>
      <c r="BS290" s="112">
        <f t="shared" si="377"/>
        <v>0</v>
      </c>
      <c r="BT290" s="112">
        <f t="shared" si="378"/>
        <v>0</v>
      </c>
      <c r="BU290" s="112">
        <f t="shared" si="379"/>
        <v>0</v>
      </c>
      <c r="BV290" s="112">
        <f t="shared" si="380"/>
        <v>0</v>
      </c>
      <c r="CI290" s="4">
        <f t="shared" si="381"/>
        <v>45394</v>
      </c>
      <c r="CJ290" s="50">
        <f ca="1">IF($BH290=0,IF($CO290="",CJ289+R290,IF('283'!$K$251=1,VLOOKUP($CO290,PerStBal,2)+R290,IF('283'!$K$253=1,(VLOOKUP($CO290,PerPortion,2)*VLOOKUP($CO290,PerStBal,6))+R290,GL!BS290))),0)</f>
        <v>0</v>
      </c>
      <c r="CK290" s="425">
        <f ca="1">IF($BH290=0,IF($CO290="",CK289+T290,IF('283'!$K$251=1,IF(mname2&lt;&gt;"",VLOOKUP($CO290,PerStBal,3)+T290,0),IF('283'!$K$253=1,(VLOOKUP($CO290,PerPortion,3)*VLOOKUP($CO290,PerStBal,6))+T290,GL!BT290))),0)</f>
        <v>0</v>
      </c>
      <c r="CL290" s="425">
        <f ca="1">IF($BH290=0,IF($CO290="",CL289+V290,IF('283'!$K$251=1,IF(mname3&lt;&gt;"",VLOOKUP($CO290,PerStBal,4)+V290,0),IF('283'!$K$253=1,(VLOOKUP($CO290,PerPortion,4)*VLOOKUP($CO290,PerStBal,6))+V290,GL!BU290))),0)</f>
        <v>0</v>
      </c>
      <c r="CM290" s="425">
        <f ca="1">IF($BH290=0,IF($CO290="",CM289+X290,IF('283'!$K$251=1,IF(mname4&lt;&gt;"",VLOOKUP($CO290,PerStBal,5)+X290,0),IF('283'!$K$253=1,(VLOOKUP($CO290,PerPortion,5)*VLOOKUP($CO290,PerStBal,6))+X290,GL!BV290))),0)</f>
        <v>0</v>
      </c>
      <c r="CN290" s="50">
        <f t="shared" ca="1" si="382"/>
        <v>0</v>
      </c>
      <c r="CO290" s="4" t="str">
        <f t="shared" ca="1" si="383"/>
        <v/>
      </c>
      <c r="CP290" s="377">
        <f t="shared" si="344"/>
        <v>0</v>
      </c>
      <c r="DI290" s="4">
        <f t="shared" si="384"/>
        <v>45394</v>
      </c>
      <c r="DJ290" s="112">
        <f t="shared" ca="1" si="385"/>
        <v>0</v>
      </c>
      <c r="DK290" s="112">
        <f t="shared" si="386"/>
        <v>0</v>
      </c>
      <c r="DL290" s="4">
        <f t="shared" si="387"/>
        <v>45394</v>
      </c>
      <c r="DM290" s="112">
        <f t="shared" ca="1" si="388"/>
        <v>0</v>
      </c>
      <c r="DN290" s="112">
        <f t="shared" si="389"/>
        <v>0</v>
      </c>
      <c r="DO290" s="4">
        <f t="shared" si="390"/>
        <v>45394</v>
      </c>
      <c r="DP290" s="112">
        <f t="shared" ca="1" si="391"/>
        <v>0</v>
      </c>
      <c r="DQ290" s="112">
        <f t="shared" si="392"/>
        <v>0</v>
      </c>
      <c r="DR290" s="4">
        <f t="shared" si="393"/>
        <v>45394</v>
      </c>
      <c r="DS290" s="112">
        <f t="shared" ca="1" si="394"/>
        <v>0</v>
      </c>
      <c r="DT290" s="112">
        <f t="shared" si="395"/>
        <v>0</v>
      </c>
      <c r="DU290" s="4">
        <f t="shared" si="396"/>
        <v>45394</v>
      </c>
      <c r="DV290" s="112">
        <f t="shared" si="397"/>
        <v>0</v>
      </c>
      <c r="DW290" s="112">
        <f t="shared" si="398"/>
        <v>0</v>
      </c>
    </row>
    <row r="291" spans="17:127" x14ac:dyDescent="0.25">
      <c r="Q291" s="4">
        <f t="shared" si="345"/>
        <v>45395</v>
      </c>
      <c r="R291" s="24">
        <f t="shared" si="346"/>
        <v>0</v>
      </c>
      <c r="S291" s="25">
        <f t="shared" si="347"/>
        <v>0</v>
      </c>
      <c r="T291" s="24">
        <f t="shared" si="348"/>
        <v>0</v>
      </c>
      <c r="U291" s="25">
        <f t="shared" si="349"/>
        <v>0</v>
      </c>
      <c r="V291" s="24">
        <f t="shared" si="350"/>
        <v>0</v>
      </c>
      <c r="W291" s="25">
        <f t="shared" si="351"/>
        <v>0</v>
      </c>
      <c r="X291" s="24">
        <f t="shared" si="352"/>
        <v>0</v>
      </c>
      <c r="Y291" s="26">
        <f t="shared" si="353"/>
        <v>0</v>
      </c>
      <c r="Z291" s="27">
        <f t="shared" si="354"/>
        <v>0</v>
      </c>
      <c r="AA291" s="28">
        <f t="shared" si="355"/>
        <v>45395</v>
      </c>
      <c r="AB291" s="24">
        <f t="shared" si="356"/>
        <v>0</v>
      </c>
      <c r="AC291" s="25">
        <f t="shared" si="357"/>
        <v>0</v>
      </c>
      <c r="AD291" s="28">
        <f t="shared" si="358"/>
        <v>45395</v>
      </c>
      <c r="AE291" s="24">
        <f t="shared" si="359"/>
        <v>0</v>
      </c>
      <c r="AF291" s="25">
        <f t="shared" si="360"/>
        <v>0</v>
      </c>
      <c r="AG291" s="28">
        <f t="shared" si="361"/>
        <v>45395</v>
      </c>
      <c r="AH291" s="24">
        <f t="shared" si="362"/>
        <v>0</v>
      </c>
      <c r="AI291" s="25">
        <f t="shared" si="363"/>
        <v>0</v>
      </c>
      <c r="AJ291" s="28">
        <f t="shared" si="364"/>
        <v>45395</v>
      </c>
      <c r="AK291" s="24">
        <f t="shared" si="365"/>
        <v>0</v>
      </c>
      <c r="AL291" s="25">
        <f t="shared" si="366"/>
        <v>0</v>
      </c>
      <c r="AM291" s="29">
        <f t="shared" si="367"/>
        <v>0</v>
      </c>
      <c r="AN291" s="28">
        <f t="shared" si="368"/>
        <v>45395</v>
      </c>
      <c r="AO291" s="373">
        <f t="shared" si="337"/>
        <v>0</v>
      </c>
      <c r="AP291" s="374">
        <f t="shared" si="338"/>
        <v>0</v>
      </c>
      <c r="AQ291" s="27">
        <f t="shared" si="339"/>
        <v>0</v>
      </c>
      <c r="AR291" s="25">
        <f t="shared" si="340"/>
        <v>0</v>
      </c>
      <c r="AS291" s="25">
        <f t="shared" si="341"/>
        <v>0</v>
      </c>
      <c r="AT291" s="25">
        <f t="shared" si="342"/>
        <v>0</v>
      </c>
      <c r="AU291" s="29">
        <f t="shared" si="399"/>
        <v>0</v>
      </c>
      <c r="AV291" s="27">
        <f t="shared" si="369"/>
        <v>0</v>
      </c>
      <c r="AW291" s="27">
        <f t="shared" si="370"/>
        <v>0</v>
      </c>
      <c r="AX291" s="27">
        <f t="shared" si="371"/>
        <v>0</v>
      </c>
      <c r="AY291" s="27">
        <f t="shared" si="372"/>
        <v>0</v>
      </c>
      <c r="BH291" s="2">
        <f t="shared" si="373"/>
        <v>0</v>
      </c>
      <c r="BI291" s="298" t="str">
        <f t="shared" si="374"/>
        <v/>
      </c>
      <c r="BJ291" s="298" t="str">
        <f t="shared" si="343"/>
        <v/>
      </c>
      <c r="BQ291" s="4">
        <f t="shared" si="375"/>
        <v>45395</v>
      </c>
      <c r="BR291" s="112">
        <f t="shared" si="376"/>
        <v>0</v>
      </c>
      <c r="BS291" s="112">
        <f t="shared" si="377"/>
        <v>0</v>
      </c>
      <c r="BT291" s="112">
        <f t="shared" si="378"/>
        <v>0</v>
      </c>
      <c r="BU291" s="112">
        <f t="shared" si="379"/>
        <v>0</v>
      </c>
      <c r="BV291" s="112">
        <f t="shared" si="380"/>
        <v>0</v>
      </c>
      <c r="CI291" s="4">
        <f t="shared" si="381"/>
        <v>45395</v>
      </c>
      <c r="CJ291" s="50">
        <f ca="1">IF($BH291=0,IF($CO291="",CJ290+R291,IF('283'!$K$251=1,VLOOKUP($CO291,PerStBal,2)+R291,IF('283'!$K$253=1,(VLOOKUP($CO291,PerPortion,2)*VLOOKUP($CO291,PerStBal,6))+R291,GL!BS291))),0)</f>
        <v>0</v>
      </c>
      <c r="CK291" s="425">
        <f ca="1">IF($BH291=0,IF($CO291="",CK290+T291,IF('283'!$K$251=1,IF(mname2&lt;&gt;"",VLOOKUP($CO291,PerStBal,3)+T291,0),IF('283'!$K$253=1,(VLOOKUP($CO291,PerPortion,3)*VLOOKUP($CO291,PerStBal,6))+T291,GL!BT291))),0)</f>
        <v>0</v>
      </c>
      <c r="CL291" s="425">
        <f ca="1">IF($BH291=0,IF($CO291="",CL290+V291,IF('283'!$K$251=1,IF(mname3&lt;&gt;"",VLOOKUP($CO291,PerStBal,4)+V291,0),IF('283'!$K$253=1,(VLOOKUP($CO291,PerPortion,4)*VLOOKUP($CO291,PerStBal,6))+V291,GL!BU291))),0)</f>
        <v>0</v>
      </c>
      <c r="CM291" s="425">
        <f ca="1">IF($BH291=0,IF($CO291="",CM290+X291,IF('283'!$K$251=1,IF(mname4&lt;&gt;"",VLOOKUP($CO291,PerStBal,5)+X291,0),IF('283'!$K$253=1,(VLOOKUP($CO291,PerPortion,5)*VLOOKUP($CO291,PerStBal,6))+X291,GL!BV291))),0)</f>
        <v>0</v>
      </c>
      <c r="CN291" s="50">
        <f t="shared" ca="1" si="382"/>
        <v>0</v>
      </c>
      <c r="CO291" s="4" t="str">
        <f t="shared" ca="1" si="383"/>
        <v/>
      </c>
      <c r="CP291" s="377">
        <f t="shared" si="344"/>
        <v>0</v>
      </c>
      <c r="DI291" s="4">
        <f t="shared" si="384"/>
        <v>45395</v>
      </c>
      <c r="DJ291" s="112">
        <f t="shared" ca="1" si="385"/>
        <v>0</v>
      </c>
      <c r="DK291" s="112">
        <f t="shared" si="386"/>
        <v>0</v>
      </c>
      <c r="DL291" s="4">
        <f t="shared" si="387"/>
        <v>45395</v>
      </c>
      <c r="DM291" s="112">
        <f t="shared" ca="1" si="388"/>
        <v>0</v>
      </c>
      <c r="DN291" s="112">
        <f t="shared" si="389"/>
        <v>0</v>
      </c>
      <c r="DO291" s="4">
        <f t="shared" si="390"/>
        <v>45395</v>
      </c>
      <c r="DP291" s="112">
        <f t="shared" ca="1" si="391"/>
        <v>0</v>
      </c>
      <c r="DQ291" s="112">
        <f t="shared" si="392"/>
        <v>0</v>
      </c>
      <c r="DR291" s="4">
        <f t="shared" si="393"/>
        <v>45395</v>
      </c>
      <c r="DS291" s="112">
        <f t="shared" ca="1" si="394"/>
        <v>0</v>
      </c>
      <c r="DT291" s="112">
        <f t="shared" si="395"/>
        <v>0</v>
      </c>
      <c r="DU291" s="4">
        <f t="shared" si="396"/>
        <v>45395</v>
      </c>
      <c r="DV291" s="112">
        <f t="shared" si="397"/>
        <v>0</v>
      </c>
      <c r="DW291" s="112">
        <f t="shared" si="398"/>
        <v>0</v>
      </c>
    </row>
    <row r="292" spans="17:127" x14ac:dyDescent="0.25">
      <c r="Q292" s="4">
        <f t="shared" si="345"/>
        <v>45396</v>
      </c>
      <c r="R292" s="24">
        <f t="shared" si="346"/>
        <v>0</v>
      </c>
      <c r="S292" s="25">
        <f t="shared" si="347"/>
        <v>0</v>
      </c>
      <c r="T292" s="24">
        <f t="shared" si="348"/>
        <v>0</v>
      </c>
      <c r="U292" s="25">
        <f t="shared" si="349"/>
        <v>0</v>
      </c>
      <c r="V292" s="24">
        <f t="shared" si="350"/>
        <v>0</v>
      </c>
      <c r="W292" s="25">
        <f t="shared" si="351"/>
        <v>0</v>
      </c>
      <c r="X292" s="24">
        <f t="shared" si="352"/>
        <v>0</v>
      </c>
      <c r="Y292" s="26">
        <f t="shared" si="353"/>
        <v>0</v>
      </c>
      <c r="Z292" s="27">
        <f t="shared" si="354"/>
        <v>0</v>
      </c>
      <c r="AA292" s="28">
        <f t="shared" si="355"/>
        <v>45396</v>
      </c>
      <c r="AB292" s="24">
        <f t="shared" si="356"/>
        <v>0</v>
      </c>
      <c r="AC292" s="25">
        <f t="shared" si="357"/>
        <v>0</v>
      </c>
      <c r="AD292" s="28">
        <f t="shared" si="358"/>
        <v>45396</v>
      </c>
      <c r="AE292" s="24">
        <f t="shared" si="359"/>
        <v>0</v>
      </c>
      <c r="AF292" s="25">
        <f t="shared" si="360"/>
        <v>0</v>
      </c>
      <c r="AG292" s="28">
        <f t="shared" si="361"/>
        <v>45396</v>
      </c>
      <c r="AH292" s="24">
        <f t="shared" si="362"/>
        <v>0</v>
      </c>
      <c r="AI292" s="25">
        <f t="shared" si="363"/>
        <v>0</v>
      </c>
      <c r="AJ292" s="28">
        <f t="shared" si="364"/>
        <v>45396</v>
      </c>
      <c r="AK292" s="24">
        <f t="shared" si="365"/>
        <v>0</v>
      </c>
      <c r="AL292" s="25">
        <f t="shared" si="366"/>
        <v>0</v>
      </c>
      <c r="AM292" s="29">
        <f t="shared" si="367"/>
        <v>0</v>
      </c>
      <c r="AN292" s="28">
        <f t="shared" si="368"/>
        <v>45396</v>
      </c>
      <c r="AO292" s="373">
        <f t="shared" si="337"/>
        <v>0</v>
      </c>
      <c r="AP292" s="374">
        <f t="shared" si="338"/>
        <v>0</v>
      </c>
      <c r="AQ292" s="27">
        <f t="shared" si="339"/>
        <v>0</v>
      </c>
      <c r="AR292" s="25">
        <f t="shared" si="340"/>
        <v>0</v>
      </c>
      <c r="AS292" s="25">
        <f t="shared" si="341"/>
        <v>0</v>
      </c>
      <c r="AT292" s="25">
        <f t="shared" si="342"/>
        <v>0</v>
      </c>
      <c r="AU292" s="29">
        <f t="shared" si="399"/>
        <v>0</v>
      </c>
      <c r="AV292" s="27">
        <f t="shared" si="369"/>
        <v>0</v>
      </c>
      <c r="AW292" s="27">
        <f t="shared" si="370"/>
        <v>0</v>
      </c>
      <c r="AX292" s="27">
        <f t="shared" si="371"/>
        <v>0</v>
      </c>
      <c r="AY292" s="27">
        <f t="shared" si="372"/>
        <v>0</v>
      </c>
      <c r="BH292" s="2">
        <f t="shared" si="373"/>
        <v>0</v>
      </c>
      <c r="BI292" s="298" t="str">
        <f t="shared" si="374"/>
        <v/>
      </c>
      <c r="BJ292" s="298" t="str">
        <f t="shared" si="343"/>
        <v/>
      </c>
      <c r="BQ292" s="4">
        <f t="shared" si="375"/>
        <v>45396</v>
      </c>
      <c r="BR292" s="112">
        <f t="shared" si="376"/>
        <v>0</v>
      </c>
      <c r="BS292" s="112">
        <f t="shared" si="377"/>
        <v>0</v>
      </c>
      <c r="BT292" s="112">
        <f t="shared" si="378"/>
        <v>0</v>
      </c>
      <c r="BU292" s="112">
        <f t="shared" si="379"/>
        <v>0</v>
      </c>
      <c r="BV292" s="112">
        <f t="shared" si="380"/>
        <v>0</v>
      </c>
      <c r="CI292" s="4">
        <f t="shared" si="381"/>
        <v>45396</v>
      </c>
      <c r="CJ292" s="50">
        <f ca="1">IF($BH292=0,IF($CO292="",CJ291+R292,IF('283'!$K$251=1,VLOOKUP($CO292,PerStBal,2)+R292,IF('283'!$K$253=1,(VLOOKUP($CO292,PerPortion,2)*VLOOKUP($CO292,PerStBal,6))+R292,GL!BS292))),0)</f>
        <v>0</v>
      </c>
      <c r="CK292" s="425">
        <f ca="1">IF($BH292=0,IF($CO292="",CK291+T292,IF('283'!$K$251=1,IF(mname2&lt;&gt;"",VLOOKUP($CO292,PerStBal,3)+T292,0),IF('283'!$K$253=1,(VLOOKUP($CO292,PerPortion,3)*VLOOKUP($CO292,PerStBal,6))+T292,GL!BT292))),0)</f>
        <v>0</v>
      </c>
      <c r="CL292" s="425">
        <f ca="1">IF($BH292=0,IF($CO292="",CL291+V292,IF('283'!$K$251=1,IF(mname3&lt;&gt;"",VLOOKUP($CO292,PerStBal,4)+V292,0),IF('283'!$K$253=1,(VLOOKUP($CO292,PerPortion,4)*VLOOKUP($CO292,PerStBal,6))+V292,GL!BU292))),0)</f>
        <v>0</v>
      </c>
      <c r="CM292" s="425">
        <f ca="1">IF($BH292=0,IF($CO292="",CM291+X292,IF('283'!$K$251=1,IF(mname4&lt;&gt;"",VLOOKUP($CO292,PerStBal,5)+X292,0),IF('283'!$K$253=1,(VLOOKUP($CO292,PerPortion,5)*VLOOKUP($CO292,PerStBal,6))+X292,GL!BV292))),0)</f>
        <v>0</v>
      </c>
      <c r="CN292" s="50">
        <f t="shared" ca="1" si="382"/>
        <v>0</v>
      </c>
      <c r="CO292" s="4" t="str">
        <f t="shared" ca="1" si="383"/>
        <v/>
      </c>
      <c r="CP292" s="377">
        <f t="shared" si="344"/>
        <v>0</v>
      </c>
      <c r="DI292" s="4">
        <f t="shared" si="384"/>
        <v>45396</v>
      </c>
      <c r="DJ292" s="112">
        <f t="shared" ca="1" si="385"/>
        <v>0</v>
      </c>
      <c r="DK292" s="112">
        <f t="shared" si="386"/>
        <v>0</v>
      </c>
      <c r="DL292" s="4">
        <f t="shared" si="387"/>
        <v>45396</v>
      </c>
      <c r="DM292" s="112">
        <f t="shared" ca="1" si="388"/>
        <v>0</v>
      </c>
      <c r="DN292" s="112">
        <f t="shared" si="389"/>
        <v>0</v>
      </c>
      <c r="DO292" s="4">
        <f t="shared" si="390"/>
        <v>45396</v>
      </c>
      <c r="DP292" s="112">
        <f t="shared" ca="1" si="391"/>
        <v>0</v>
      </c>
      <c r="DQ292" s="112">
        <f t="shared" si="392"/>
        <v>0</v>
      </c>
      <c r="DR292" s="4">
        <f t="shared" si="393"/>
        <v>45396</v>
      </c>
      <c r="DS292" s="112">
        <f t="shared" ca="1" si="394"/>
        <v>0</v>
      </c>
      <c r="DT292" s="112">
        <f t="shared" si="395"/>
        <v>0</v>
      </c>
      <c r="DU292" s="4">
        <f t="shared" si="396"/>
        <v>45396</v>
      </c>
      <c r="DV292" s="112">
        <f t="shared" si="397"/>
        <v>0</v>
      </c>
      <c r="DW292" s="112">
        <f t="shared" si="398"/>
        <v>0</v>
      </c>
    </row>
    <row r="293" spans="17:127" x14ac:dyDescent="0.25">
      <c r="Q293" s="4">
        <f t="shared" si="345"/>
        <v>45397</v>
      </c>
      <c r="R293" s="24">
        <f t="shared" si="346"/>
        <v>0</v>
      </c>
      <c r="S293" s="25">
        <f t="shared" si="347"/>
        <v>0</v>
      </c>
      <c r="T293" s="24">
        <f t="shared" si="348"/>
        <v>0</v>
      </c>
      <c r="U293" s="25">
        <f t="shared" si="349"/>
        <v>0</v>
      </c>
      <c r="V293" s="24">
        <f t="shared" si="350"/>
        <v>0</v>
      </c>
      <c r="W293" s="25">
        <f t="shared" si="351"/>
        <v>0</v>
      </c>
      <c r="X293" s="24">
        <f t="shared" si="352"/>
        <v>0</v>
      </c>
      <c r="Y293" s="26">
        <f t="shared" si="353"/>
        <v>0</v>
      </c>
      <c r="Z293" s="27">
        <f t="shared" si="354"/>
        <v>0</v>
      </c>
      <c r="AA293" s="28">
        <f t="shared" si="355"/>
        <v>45397</v>
      </c>
      <c r="AB293" s="24">
        <f t="shared" si="356"/>
        <v>0</v>
      </c>
      <c r="AC293" s="25">
        <f t="shared" si="357"/>
        <v>0</v>
      </c>
      <c r="AD293" s="28">
        <f t="shared" si="358"/>
        <v>45397</v>
      </c>
      <c r="AE293" s="24">
        <f t="shared" si="359"/>
        <v>0</v>
      </c>
      <c r="AF293" s="25">
        <f t="shared" si="360"/>
        <v>0</v>
      </c>
      <c r="AG293" s="28">
        <f t="shared" si="361"/>
        <v>45397</v>
      </c>
      <c r="AH293" s="24">
        <f t="shared" si="362"/>
        <v>0</v>
      </c>
      <c r="AI293" s="25">
        <f t="shared" si="363"/>
        <v>0</v>
      </c>
      <c r="AJ293" s="28">
        <f t="shared" si="364"/>
        <v>45397</v>
      </c>
      <c r="AK293" s="24">
        <f t="shared" si="365"/>
        <v>0</v>
      </c>
      <c r="AL293" s="25">
        <f t="shared" si="366"/>
        <v>0</v>
      </c>
      <c r="AM293" s="29">
        <f t="shared" si="367"/>
        <v>0</v>
      </c>
      <c r="AN293" s="28">
        <f t="shared" si="368"/>
        <v>45397</v>
      </c>
      <c r="AO293" s="373">
        <f t="shared" si="337"/>
        <v>0</v>
      </c>
      <c r="AP293" s="374">
        <f t="shared" si="338"/>
        <v>0</v>
      </c>
      <c r="AQ293" s="27">
        <f t="shared" si="339"/>
        <v>0</v>
      </c>
      <c r="AR293" s="25">
        <f t="shared" si="340"/>
        <v>0</v>
      </c>
      <c r="AS293" s="25">
        <f t="shared" si="341"/>
        <v>0</v>
      </c>
      <c r="AT293" s="25">
        <f t="shared" si="342"/>
        <v>0</v>
      </c>
      <c r="AU293" s="29">
        <f t="shared" si="399"/>
        <v>0</v>
      </c>
      <c r="AV293" s="27">
        <f t="shared" si="369"/>
        <v>0</v>
      </c>
      <c r="AW293" s="27">
        <f t="shared" si="370"/>
        <v>0</v>
      </c>
      <c r="AX293" s="27">
        <f t="shared" si="371"/>
        <v>0</v>
      </c>
      <c r="AY293" s="27">
        <f t="shared" si="372"/>
        <v>0</v>
      </c>
      <c r="BH293" s="2">
        <f t="shared" si="373"/>
        <v>0</v>
      </c>
      <c r="BI293" s="298" t="str">
        <f t="shared" si="374"/>
        <v/>
      </c>
      <c r="BJ293" s="298" t="str">
        <f t="shared" si="343"/>
        <v/>
      </c>
      <c r="BQ293" s="4">
        <f t="shared" si="375"/>
        <v>45397</v>
      </c>
      <c r="BR293" s="112">
        <f t="shared" si="376"/>
        <v>0</v>
      </c>
      <c r="BS293" s="112">
        <f t="shared" si="377"/>
        <v>0</v>
      </c>
      <c r="BT293" s="112">
        <f t="shared" si="378"/>
        <v>0</v>
      </c>
      <c r="BU293" s="112">
        <f t="shared" si="379"/>
        <v>0</v>
      </c>
      <c r="BV293" s="112">
        <f t="shared" si="380"/>
        <v>0</v>
      </c>
      <c r="CI293" s="4">
        <f t="shared" si="381"/>
        <v>45397</v>
      </c>
      <c r="CJ293" s="50">
        <f ca="1">IF($BH293=0,IF($CO293="",CJ292+R293,IF('283'!$K$251=1,VLOOKUP($CO293,PerStBal,2)+R293,IF('283'!$K$253=1,(VLOOKUP($CO293,PerPortion,2)*VLOOKUP($CO293,PerStBal,6))+R293,GL!BS293))),0)</f>
        <v>0</v>
      </c>
      <c r="CK293" s="425">
        <f ca="1">IF($BH293=0,IF($CO293="",CK292+T293,IF('283'!$K$251=1,IF(mname2&lt;&gt;"",VLOOKUP($CO293,PerStBal,3)+T293,0),IF('283'!$K$253=1,(VLOOKUP($CO293,PerPortion,3)*VLOOKUP($CO293,PerStBal,6))+T293,GL!BT293))),0)</f>
        <v>0</v>
      </c>
      <c r="CL293" s="425">
        <f ca="1">IF($BH293=0,IF($CO293="",CL292+V293,IF('283'!$K$251=1,IF(mname3&lt;&gt;"",VLOOKUP($CO293,PerStBal,4)+V293,0),IF('283'!$K$253=1,(VLOOKUP($CO293,PerPortion,4)*VLOOKUP($CO293,PerStBal,6))+V293,GL!BU293))),0)</f>
        <v>0</v>
      </c>
      <c r="CM293" s="425">
        <f ca="1">IF($BH293=0,IF($CO293="",CM292+X293,IF('283'!$K$251=1,IF(mname4&lt;&gt;"",VLOOKUP($CO293,PerStBal,5)+X293,0),IF('283'!$K$253=1,(VLOOKUP($CO293,PerPortion,5)*VLOOKUP($CO293,PerStBal,6))+X293,GL!BV293))),0)</f>
        <v>0</v>
      </c>
      <c r="CN293" s="50">
        <f t="shared" ca="1" si="382"/>
        <v>0</v>
      </c>
      <c r="CO293" s="4" t="str">
        <f t="shared" ca="1" si="383"/>
        <v/>
      </c>
      <c r="CP293" s="377">
        <f t="shared" si="344"/>
        <v>0</v>
      </c>
      <c r="DI293" s="4">
        <f t="shared" si="384"/>
        <v>45397</v>
      </c>
      <c r="DJ293" s="112">
        <f t="shared" ca="1" si="385"/>
        <v>0</v>
      </c>
      <c r="DK293" s="112">
        <f t="shared" si="386"/>
        <v>0</v>
      </c>
      <c r="DL293" s="4">
        <f t="shared" si="387"/>
        <v>45397</v>
      </c>
      <c r="DM293" s="112">
        <f t="shared" ca="1" si="388"/>
        <v>0</v>
      </c>
      <c r="DN293" s="112">
        <f t="shared" si="389"/>
        <v>0</v>
      </c>
      <c r="DO293" s="4">
        <f t="shared" si="390"/>
        <v>45397</v>
      </c>
      <c r="DP293" s="112">
        <f t="shared" ca="1" si="391"/>
        <v>0</v>
      </c>
      <c r="DQ293" s="112">
        <f t="shared" si="392"/>
        <v>0</v>
      </c>
      <c r="DR293" s="4">
        <f t="shared" si="393"/>
        <v>45397</v>
      </c>
      <c r="DS293" s="112">
        <f t="shared" ca="1" si="394"/>
        <v>0</v>
      </c>
      <c r="DT293" s="112">
        <f t="shared" si="395"/>
        <v>0</v>
      </c>
      <c r="DU293" s="4">
        <f t="shared" si="396"/>
        <v>45397</v>
      </c>
      <c r="DV293" s="112">
        <f t="shared" si="397"/>
        <v>0</v>
      </c>
      <c r="DW293" s="112">
        <f t="shared" si="398"/>
        <v>0</v>
      </c>
    </row>
    <row r="294" spans="17:127" x14ac:dyDescent="0.25">
      <c r="Q294" s="4">
        <f t="shared" si="345"/>
        <v>45398</v>
      </c>
      <c r="R294" s="24">
        <f t="shared" si="346"/>
        <v>0</v>
      </c>
      <c r="S294" s="25">
        <f t="shared" si="347"/>
        <v>0</v>
      </c>
      <c r="T294" s="24">
        <f t="shared" si="348"/>
        <v>0</v>
      </c>
      <c r="U294" s="25">
        <f t="shared" si="349"/>
        <v>0</v>
      </c>
      <c r="V294" s="24">
        <f t="shared" si="350"/>
        <v>0</v>
      </c>
      <c r="W294" s="25">
        <f t="shared" si="351"/>
        <v>0</v>
      </c>
      <c r="X294" s="24">
        <f t="shared" si="352"/>
        <v>0</v>
      </c>
      <c r="Y294" s="26">
        <f t="shared" si="353"/>
        <v>0</v>
      </c>
      <c r="Z294" s="27">
        <f t="shared" si="354"/>
        <v>0</v>
      </c>
      <c r="AA294" s="28">
        <f t="shared" si="355"/>
        <v>45398</v>
      </c>
      <c r="AB294" s="24">
        <f t="shared" si="356"/>
        <v>0</v>
      </c>
      <c r="AC294" s="25">
        <f t="shared" si="357"/>
        <v>0</v>
      </c>
      <c r="AD294" s="28">
        <f t="shared" si="358"/>
        <v>45398</v>
      </c>
      <c r="AE294" s="24">
        <f t="shared" si="359"/>
        <v>0</v>
      </c>
      <c r="AF294" s="25">
        <f t="shared" si="360"/>
        <v>0</v>
      </c>
      <c r="AG294" s="28">
        <f t="shared" si="361"/>
        <v>45398</v>
      </c>
      <c r="AH294" s="24">
        <f t="shared" si="362"/>
        <v>0</v>
      </c>
      <c r="AI294" s="25">
        <f t="shared" si="363"/>
        <v>0</v>
      </c>
      <c r="AJ294" s="28">
        <f t="shared" si="364"/>
        <v>45398</v>
      </c>
      <c r="AK294" s="24">
        <f t="shared" si="365"/>
        <v>0</v>
      </c>
      <c r="AL294" s="25">
        <f t="shared" si="366"/>
        <v>0</v>
      </c>
      <c r="AM294" s="29">
        <f t="shared" si="367"/>
        <v>0</v>
      </c>
      <c r="AN294" s="28">
        <f t="shared" si="368"/>
        <v>45398</v>
      </c>
      <c r="AO294" s="373">
        <f t="shared" si="337"/>
        <v>0</v>
      </c>
      <c r="AP294" s="374">
        <f t="shared" si="338"/>
        <v>0</v>
      </c>
      <c r="AQ294" s="27">
        <f t="shared" si="339"/>
        <v>0</v>
      </c>
      <c r="AR294" s="25">
        <f t="shared" si="340"/>
        <v>0</v>
      </c>
      <c r="AS294" s="25">
        <f t="shared" si="341"/>
        <v>0</v>
      </c>
      <c r="AT294" s="25">
        <f t="shared" si="342"/>
        <v>0</v>
      </c>
      <c r="AU294" s="29">
        <f t="shared" si="399"/>
        <v>0</v>
      </c>
      <c r="AV294" s="27">
        <f t="shared" si="369"/>
        <v>0</v>
      </c>
      <c r="AW294" s="27">
        <f t="shared" si="370"/>
        <v>0</v>
      </c>
      <c r="AX294" s="27">
        <f t="shared" si="371"/>
        <v>0</v>
      </c>
      <c r="AY294" s="27">
        <f t="shared" si="372"/>
        <v>0</v>
      </c>
      <c r="BH294" s="2">
        <f t="shared" si="373"/>
        <v>0</v>
      </c>
      <c r="BI294" s="298" t="str">
        <f t="shared" si="374"/>
        <v/>
      </c>
      <c r="BJ294" s="298" t="str">
        <f t="shared" si="343"/>
        <v/>
      </c>
      <c r="BQ294" s="4">
        <f t="shared" si="375"/>
        <v>45398</v>
      </c>
      <c r="BR294" s="112">
        <f t="shared" si="376"/>
        <v>0</v>
      </c>
      <c r="BS294" s="112">
        <f t="shared" si="377"/>
        <v>0</v>
      </c>
      <c r="BT294" s="112">
        <f t="shared" si="378"/>
        <v>0</v>
      </c>
      <c r="BU294" s="112">
        <f t="shared" si="379"/>
        <v>0</v>
      </c>
      <c r="BV294" s="112">
        <f t="shared" si="380"/>
        <v>0</v>
      </c>
      <c r="CI294" s="4">
        <f t="shared" si="381"/>
        <v>45398</v>
      </c>
      <c r="CJ294" s="50">
        <f ca="1">IF($BH294=0,IF($CO294="",CJ293+R294,IF('283'!$K$251=1,VLOOKUP($CO294,PerStBal,2)+R294,IF('283'!$K$253=1,(VLOOKUP($CO294,PerPortion,2)*VLOOKUP($CO294,PerStBal,6))+R294,GL!BS294))),0)</f>
        <v>0</v>
      </c>
      <c r="CK294" s="425">
        <f ca="1">IF($BH294=0,IF($CO294="",CK293+T294,IF('283'!$K$251=1,IF(mname2&lt;&gt;"",VLOOKUP($CO294,PerStBal,3)+T294,0),IF('283'!$K$253=1,(VLOOKUP($CO294,PerPortion,3)*VLOOKUP($CO294,PerStBal,6))+T294,GL!BT294))),0)</f>
        <v>0</v>
      </c>
      <c r="CL294" s="425">
        <f ca="1">IF($BH294=0,IF($CO294="",CL293+V294,IF('283'!$K$251=1,IF(mname3&lt;&gt;"",VLOOKUP($CO294,PerStBal,4)+V294,0),IF('283'!$K$253=1,(VLOOKUP($CO294,PerPortion,4)*VLOOKUP($CO294,PerStBal,6))+V294,GL!BU294))),0)</f>
        <v>0</v>
      </c>
      <c r="CM294" s="425">
        <f ca="1">IF($BH294=0,IF($CO294="",CM293+X294,IF('283'!$K$251=1,IF(mname4&lt;&gt;"",VLOOKUP($CO294,PerStBal,5)+X294,0),IF('283'!$K$253=1,(VLOOKUP($CO294,PerPortion,5)*VLOOKUP($CO294,PerStBal,6))+X294,GL!BV294))),0)</f>
        <v>0</v>
      </c>
      <c r="CN294" s="50">
        <f t="shared" ca="1" si="382"/>
        <v>0</v>
      </c>
      <c r="CO294" s="4" t="str">
        <f t="shared" ca="1" si="383"/>
        <v/>
      </c>
      <c r="CP294" s="377">
        <f t="shared" si="344"/>
        <v>0</v>
      </c>
      <c r="DI294" s="4">
        <f t="shared" si="384"/>
        <v>45398</v>
      </c>
      <c r="DJ294" s="112">
        <f t="shared" ca="1" si="385"/>
        <v>0</v>
      </c>
      <c r="DK294" s="112">
        <f t="shared" si="386"/>
        <v>0</v>
      </c>
      <c r="DL294" s="4">
        <f t="shared" si="387"/>
        <v>45398</v>
      </c>
      <c r="DM294" s="112">
        <f t="shared" ca="1" si="388"/>
        <v>0</v>
      </c>
      <c r="DN294" s="112">
        <f t="shared" si="389"/>
        <v>0</v>
      </c>
      <c r="DO294" s="4">
        <f t="shared" si="390"/>
        <v>45398</v>
      </c>
      <c r="DP294" s="112">
        <f t="shared" ca="1" si="391"/>
        <v>0</v>
      </c>
      <c r="DQ294" s="112">
        <f t="shared" si="392"/>
        <v>0</v>
      </c>
      <c r="DR294" s="4">
        <f t="shared" si="393"/>
        <v>45398</v>
      </c>
      <c r="DS294" s="112">
        <f t="shared" ca="1" si="394"/>
        <v>0</v>
      </c>
      <c r="DT294" s="112">
        <f t="shared" si="395"/>
        <v>0</v>
      </c>
      <c r="DU294" s="4">
        <f t="shared" si="396"/>
        <v>45398</v>
      </c>
      <c r="DV294" s="112">
        <f t="shared" si="397"/>
        <v>0</v>
      </c>
      <c r="DW294" s="112">
        <f t="shared" si="398"/>
        <v>0</v>
      </c>
    </row>
    <row r="295" spans="17:127" x14ac:dyDescent="0.25">
      <c r="Q295" s="4">
        <f t="shared" si="345"/>
        <v>45399</v>
      </c>
      <c r="R295" s="24">
        <f t="shared" si="346"/>
        <v>0</v>
      </c>
      <c r="S295" s="25">
        <f t="shared" si="347"/>
        <v>0</v>
      </c>
      <c r="T295" s="24">
        <f t="shared" si="348"/>
        <v>0</v>
      </c>
      <c r="U295" s="25">
        <f t="shared" si="349"/>
        <v>0</v>
      </c>
      <c r="V295" s="24">
        <f t="shared" si="350"/>
        <v>0</v>
      </c>
      <c r="W295" s="25">
        <f t="shared" si="351"/>
        <v>0</v>
      </c>
      <c r="X295" s="24">
        <f t="shared" si="352"/>
        <v>0</v>
      </c>
      <c r="Y295" s="26">
        <f t="shared" si="353"/>
        <v>0</v>
      </c>
      <c r="Z295" s="27">
        <f t="shared" si="354"/>
        <v>0</v>
      </c>
      <c r="AA295" s="28">
        <f t="shared" si="355"/>
        <v>45399</v>
      </c>
      <c r="AB295" s="24">
        <f t="shared" si="356"/>
        <v>0</v>
      </c>
      <c r="AC295" s="25">
        <f t="shared" si="357"/>
        <v>0</v>
      </c>
      <c r="AD295" s="28">
        <f t="shared" si="358"/>
        <v>45399</v>
      </c>
      <c r="AE295" s="24">
        <f t="shared" si="359"/>
        <v>0</v>
      </c>
      <c r="AF295" s="25">
        <f t="shared" si="360"/>
        <v>0</v>
      </c>
      <c r="AG295" s="28">
        <f t="shared" si="361"/>
        <v>45399</v>
      </c>
      <c r="AH295" s="24">
        <f t="shared" si="362"/>
        <v>0</v>
      </c>
      <c r="AI295" s="25">
        <f t="shared" si="363"/>
        <v>0</v>
      </c>
      <c r="AJ295" s="28">
        <f t="shared" si="364"/>
        <v>45399</v>
      </c>
      <c r="AK295" s="24">
        <f t="shared" si="365"/>
        <v>0</v>
      </c>
      <c r="AL295" s="25">
        <f t="shared" si="366"/>
        <v>0</v>
      </c>
      <c r="AM295" s="29">
        <f t="shared" si="367"/>
        <v>0</v>
      </c>
      <c r="AN295" s="28">
        <f t="shared" si="368"/>
        <v>45399</v>
      </c>
      <c r="AO295" s="373">
        <f t="shared" si="337"/>
        <v>0</v>
      </c>
      <c r="AP295" s="374">
        <f t="shared" si="338"/>
        <v>0</v>
      </c>
      <c r="AQ295" s="27">
        <f t="shared" si="339"/>
        <v>0</v>
      </c>
      <c r="AR295" s="25">
        <f t="shared" si="340"/>
        <v>0</v>
      </c>
      <c r="AS295" s="25">
        <f t="shared" si="341"/>
        <v>0</v>
      </c>
      <c r="AT295" s="25">
        <f t="shared" si="342"/>
        <v>0</v>
      </c>
      <c r="AU295" s="29">
        <f t="shared" si="399"/>
        <v>0</v>
      </c>
      <c r="AV295" s="27">
        <f t="shared" si="369"/>
        <v>0</v>
      </c>
      <c r="AW295" s="27">
        <f t="shared" si="370"/>
        <v>0</v>
      </c>
      <c r="AX295" s="27">
        <f t="shared" si="371"/>
        <v>0</v>
      </c>
      <c r="AY295" s="27">
        <f t="shared" si="372"/>
        <v>0</v>
      </c>
      <c r="BH295" s="2">
        <f t="shared" si="373"/>
        <v>0</v>
      </c>
      <c r="BI295" s="298" t="str">
        <f t="shared" si="374"/>
        <v/>
      </c>
      <c r="BJ295" s="298" t="str">
        <f t="shared" si="343"/>
        <v/>
      </c>
      <c r="BQ295" s="4">
        <f t="shared" si="375"/>
        <v>45399</v>
      </c>
      <c r="BR295" s="112">
        <f t="shared" si="376"/>
        <v>0</v>
      </c>
      <c r="BS295" s="112">
        <f t="shared" si="377"/>
        <v>0</v>
      </c>
      <c r="BT295" s="112">
        <f t="shared" si="378"/>
        <v>0</v>
      </c>
      <c r="BU295" s="112">
        <f t="shared" si="379"/>
        <v>0</v>
      </c>
      <c r="BV295" s="112">
        <f t="shared" si="380"/>
        <v>0</v>
      </c>
      <c r="CI295" s="4">
        <f t="shared" si="381"/>
        <v>45399</v>
      </c>
      <c r="CJ295" s="50">
        <f ca="1">IF($BH295=0,IF($CO295="",CJ294+R295,IF('283'!$K$251=1,VLOOKUP($CO295,PerStBal,2)+R295,IF('283'!$K$253=1,(VLOOKUP($CO295,PerPortion,2)*VLOOKUP($CO295,PerStBal,6))+R295,GL!BS295))),0)</f>
        <v>0</v>
      </c>
      <c r="CK295" s="425">
        <f ca="1">IF($BH295=0,IF($CO295="",CK294+T295,IF('283'!$K$251=1,IF(mname2&lt;&gt;"",VLOOKUP($CO295,PerStBal,3)+T295,0),IF('283'!$K$253=1,(VLOOKUP($CO295,PerPortion,3)*VLOOKUP($CO295,PerStBal,6))+T295,GL!BT295))),0)</f>
        <v>0</v>
      </c>
      <c r="CL295" s="425">
        <f ca="1">IF($BH295=0,IF($CO295="",CL294+V295,IF('283'!$K$251=1,IF(mname3&lt;&gt;"",VLOOKUP($CO295,PerStBal,4)+V295,0),IF('283'!$K$253=1,(VLOOKUP($CO295,PerPortion,4)*VLOOKUP($CO295,PerStBal,6))+V295,GL!BU295))),0)</f>
        <v>0</v>
      </c>
      <c r="CM295" s="425">
        <f ca="1">IF($BH295=0,IF($CO295="",CM294+X295,IF('283'!$K$251=1,IF(mname4&lt;&gt;"",VLOOKUP($CO295,PerStBal,5)+X295,0),IF('283'!$K$253=1,(VLOOKUP($CO295,PerPortion,5)*VLOOKUP($CO295,PerStBal,6))+X295,GL!BV295))),0)</f>
        <v>0</v>
      </c>
      <c r="CN295" s="50">
        <f t="shared" ca="1" si="382"/>
        <v>0</v>
      </c>
      <c r="CO295" s="4" t="str">
        <f t="shared" ca="1" si="383"/>
        <v/>
      </c>
      <c r="CP295" s="377">
        <f t="shared" si="344"/>
        <v>0</v>
      </c>
      <c r="DI295" s="4">
        <f t="shared" si="384"/>
        <v>45399</v>
      </c>
      <c r="DJ295" s="112">
        <f t="shared" ca="1" si="385"/>
        <v>0</v>
      </c>
      <c r="DK295" s="112">
        <f t="shared" si="386"/>
        <v>0</v>
      </c>
      <c r="DL295" s="4">
        <f t="shared" si="387"/>
        <v>45399</v>
      </c>
      <c r="DM295" s="112">
        <f t="shared" ca="1" si="388"/>
        <v>0</v>
      </c>
      <c r="DN295" s="112">
        <f t="shared" si="389"/>
        <v>0</v>
      </c>
      <c r="DO295" s="4">
        <f t="shared" si="390"/>
        <v>45399</v>
      </c>
      <c r="DP295" s="112">
        <f t="shared" ca="1" si="391"/>
        <v>0</v>
      </c>
      <c r="DQ295" s="112">
        <f t="shared" si="392"/>
        <v>0</v>
      </c>
      <c r="DR295" s="4">
        <f t="shared" si="393"/>
        <v>45399</v>
      </c>
      <c r="DS295" s="112">
        <f t="shared" ca="1" si="394"/>
        <v>0</v>
      </c>
      <c r="DT295" s="112">
        <f t="shared" si="395"/>
        <v>0</v>
      </c>
      <c r="DU295" s="4">
        <f t="shared" si="396"/>
        <v>45399</v>
      </c>
      <c r="DV295" s="112">
        <f t="shared" si="397"/>
        <v>0</v>
      </c>
      <c r="DW295" s="112">
        <f t="shared" si="398"/>
        <v>0</v>
      </c>
    </row>
    <row r="296" spans="17:127" x14ac:dyDescent="0.25">
      <c r="Q296" s="4">
        <f t="shared" si="345"/>
        <v>45400</v>
      </c>
      <c r="R296" s="24">
        <f t="shared" si="346"/>
        <v>0</v>
      </c>
      <c r="S296" s="25">
        <f t="shared" si="347"/>
        <v>0</v>
      </c>
      <c r="T296" s="24">
        <f t="shared" si="348"/>
        <v>0</v>
      </c>
      <c r="U296" s="25">
        <f t="shared" si="349"/>
        <v>0</v>
      </c>
      <c r="V296" s="24">
        <f t="shared" si="350"/>
        <v>0</v>
      </c>
      <c r="W296" s="25">
        <f t="shared" si="351"/>
        <v>0</v>
      </c>
      <c r="X296" s="24">
        <f t="shared" si="352"/>
        <v>0</v>
      </c>
      <c r="Y296" s="26">
        <f t="shared" si="353"/>
        <v>0</v>
      </c>
      <c r="Z296" s="27">
        <f t="shared" si="354"/>
        <v>0</v>
      </c>
      <c r="AA296" s="28">
        <f t="shared" si="355"/>
        <v>45400</v>
      </c>
      <c r="AB296" s="24">
        <f t="shared" si="356"/>
        <v>0</v>
      </c>
      <c r="AC296" s="25">
        <f t="shared" si="357"/>
        <v>0</v>
      </c>
      <c r="AD296" s="28">
        <f t="shared" si="358"/>
        <v>45400</v>
      </c>
      <c r="AE296" s="24">
        <f t="shared" si="359"/>
        <v>0</v>
      </c>
      <c r="AF296" s="25">
        <f t="shared" si="360"/>
        <v>0</v>
      </c>
      <c r="AG296" s="28">
        <f t="shared" si="361"/>
        <v>45400</v>
      </c>
      <c r="AH296" s="24">
        <f t="shared" si="362"/>
        <v>0</v>
      </c>
      <c r="AI296" s="25">
        <f t="shared" si="363"/>
        <v>0</v>
      </c>
      <c r="AJ296" s="28">
        <f t="shared" si="364"/>
        <v>45400</v>
      </c>
      <c r="AK296" s="24">
        <f t="shared" si="365"/>
        <v>0</v>
      </c>
      <c r="AL296" s="25">
        <f t="shared" si="366"/>
        <v>0</v>
      </c>
      <c r="AM296" s="29">
        <f t="shared" si="367"/>
        <v>0</v>
      </c>
      <c r="AN296" s="28">
        <f t="shared" si="368"/>
        <v>45400</v>
      </c>
      <c r="AO296" s="373">
        <f t="shared" si="337"/>
        <v>0</v>
      </c>
      <c r="AP296" s="374">
        <f t="shared" si="338"/>
        <v>0</v>
      </c>
      <c r="AQ296" s="27">
        <f t="shared" si="339"/>
        <v>0</v>
      </c>
      <c r="AR296" s="25">
        <f t="shared" si="340"/>
        <v>0</v>
      </c>
      <c r="AS296" s="25">
        <f t="shared" si="341"/>
        <v>0</v>
      </c>
      <c r="AT296" s="25">
        <f t="shared" si="342"/>
        <v>0</v>
      </c>
      <c r="AU296" s="29">
        <f t="shared" si="399"/>
        <v>0</v>
      </c>
      <c r="AV296" s="27">
        <f t="shared" si="369"/>
        <v>0</v>
      </c>
      <c r="AW296" s="27">
        <f t="shared" si="370"/>
        <v>0</v>
      </c>
      <c r="AX296" s="27">
        <f t="shared" si="371"/>
        <v>0</v>
      </c>
      <c r="AY296" s="27">
        <f t="shared" si="372"/>
        <v>0</v>
      </c>
      <c r="BH296" s="2">
        <f t="shared" si="373"/>
        <v>0</v>
      </c>
      <c r="BI296" s="298" t="str">
        <f t="shared" si="374"/>
        <v/>
      </c>
      <c r="BJ296" s="298" t="str">
        <f t="shared" si="343"/>
        <v/>
      </c>
      <c r="BQ296" s="4">
        <f t="shared" si="375"/>
        <v>45400</v>
      </c>
      <c r="BR296" s="112">
        <f t="shared" si="376"/>
        <v>0</v>
      </c>
      <c r="BS296" s="112">
        <f t="shared" si="377"/>
        <v>0</v>
      </c>
      <c r="BT296" s="112">
        <f t="shared" si="378"/>
        <v>0</v>
      </c>
      <c r="BU296" s="112">
        <f t="shared" si="379"/>
        <v>0</v>
      </c>
      <c r="BV296" s="112">
        <f t="shared" si="380"/>
        <v>0</v>
      </c>
      <c r="CI296" s="4">
        <f t="shared" si="381"/>
        <v>45400</v>
      </c>
      <c r="CJ296" s="50">
        <f ca="1">IF($BH296=0,IF($CO296="",CJ295+R296,IF('283'!$K$251=1,VLOOKUP($CO296,PerStBal,2)+R296,IF('283'!$K$253=1,(VLOOKUP($CO296,PerPortion,2)*VLOOKUP($CO296,PerStBal,6))+R296,GL!BS296))),0)</f>
        <v>0</v>
      </c>
      <c r="CK296" s="425">
        <f ca="1">IF($BH296=0,IF($CO296="",CK295+T296,IF('283'!$K$251=1,IF(mname2&lt;&gt;"",VLOOKUP($CO296,PerStBal,3)+T296,0),IF('283'!$K$253=1,(VLOOKUP($CO296,PerPortion,3)*VLOOKUP($CO296,PerStBal,6))+T296,GL!BT296))),0)</f>
        <v>0</v>
      </c>
      <c r="CL296" s="425">
        <f ca="1">IF($BH296=0,IF($CO296="",CL295+V296,IF('283'!$K$251=1,IF(mname3&lt;&gt;"",VLOOKUP($CO296,PerStBal,4)+V296,0),IF('283'!$K$253=1,(VLOOKUP($CO296,PerPortion,4)*VLOOKUP($CO296,PerStBal,6))+V296,GL!BU296))),0)</f>
        <v>0</v>
      </c>
      <c r="CM296" s="425">
        <f ca="1">IF($BH296=0,IF($CO296="",CM295+X296,IF('283'!$K$251=1,IF(mname4&lt;&gt;"",VLOOKUP($CO296,PerStBal,5)+X296,0),IF('283'!$K$253=1,(VLOOKUP($CO296,PerPortion,5)*VLOOKUP($CO296,PerStBal,6))+X296,GL!BV296))),0)</f>
        <v>0</v>
      </c>
      <c r="CN296" s="50">
        <f t="shared" ca="1" si="382"/>
        <v>0</v>
      </c>
      <c r="CO296" s="4" t="str">
        <f t="shared" ca="1" si="383"/>
        <v/>
      </c>
      <c r="CP296" s="377">
        <f t="shared" si="344"/>
        <v>0</v>
      </c>
      <c r="DI296" s="4">
        <f t="shared" si="384"/>
        <v>45400</v>
      </c>
      <c r="DJ296" s="112">
        <f t="shared" ca="1" si="385"/>
        <v>0</v>
      </c>
      <c r="DK296" s="112">
        <f t="shared" si="386"/>
        <v>0</v>
      </c>
      <c r="DL296" s="4">
        <f t="shared" si="387"/>
        <v>45400</v>
      </c>
      <c r="DM296" s="112">
        <f t="shared" ca="1" si="388"/>
        <v>0</v>
      </c>
      <c r="DN296" s="112">
        <f t="shared" si="389"/>
        <v>0</v>
      </c>
      <c r="DO296" s="4">
        <f t="shared" si="390"/>
        <v>45400</v>
      </c>
      <c r="DP296" s="112">
        <f t="shared" ca="1" si="391"/>
        <v>0</v>
      </c>
      <c r="DQ296" s="112">
        <f t="shared" si="392"/>
        <v>0</v>
      </c>
      <c r="DR296" s="4">
        <f t="shared" si="393"/>
        <v>45400</v>
      </c>
      <c r="DS296" s="112">
        <f t="shared" ca="1" si="394"/>
        <v>0</v>
      </c>
      <c r="DT296" s="112">
        <f t="shared" si="395"/>
        <v>0</v>
      </c>
      <c r="DU296" s="4">
        <f t="shared" si="396"/>
        <v>45400</v>
      </c>
      <c r="DV296" s="112">
        <f t="shared" si="397"/>
        <v>0</v>
      </c>
      <c r="DW296" s="112">
        <f t="shared" si="398"/>
        <v>0</v>
      </c>
    </row>
    <row r="297" spans="17:127" x14ac:dyDescent="0.25">
      <c r="Q297" s="4">
        <f t="shared" si="345"/>
        <v>45401</v>
      </c>
      <c r="R297" s="24">
        <f t="shared" si="346"/>
        <v>0</v>
      </c>
      <c r="S297" s="25">
        <f t="shared" si="347"/>
        <v>0</v>
      </c>
      <c r="T297" s="24">
        <f t="shared" si="348"/>
        <v>0</v>
      </c>
      <c r="U297" s="25">
        <f t="shared" si="349"/>
        <v>0</v>
      </c>
      <c r="V297" s="24">
        <f t="shared" si="350"/>
        <v>0</v>
      </c>
      <c r="W297" s="25">
        <f t="shared" si="351"/>
        <v>0</v>
      </c>
      <c r="X297" s="24">
        <f t="shared" si="352"/>
        <v>0</v>
      </c>
      <c r="Y297" s="26">
        <f t="shared" si="353"/>
        <v>0</v>
      </c>
      <c r="Z297" s="27">
        <f t="shared" si="354"/>
        <v>0</v>
      </c>
      <c r="AA297" s="28">
        <f t="shared" si="355"/>
        <v>45401</v>
      </c>
      <c r="AB297" s="24">
        <f t="shared" si="356"/>
        <v>0</v>
      </c>
      <c r="AC297" s="25">
        <f t="shared" si="357"/>
        <v>0</v>
      </c>
      <c r="AD297" s="28">
        <f t="shared" si="358"/>
        <v>45401</v>
      </c>
      <c r="AE297" s="24">
        <f t="shared" si="359"/>
        <v>0</v>
      </c>
      <c r="AF297" s="25">
        <f t="shared" si="360"/>
        <v>0</v>
      </c>
      <c r="AG297" s="28">
        <f t="shared" si="361"/>
        <v>45401</v>
      </c>
      <c r="AH297" s="24">
        <f t="shared" si="362"/>
        <v>0</v>
      </c>
      <c r="AI297" s="25">
        <f t="shared" si="363"/>
        <v>0</v>
      </c>
      <c r="AJ297" s="28">
        <f t="shared" si="364"/>
        <v>45401</v>
      </c>
      <c r="AK297" s="24">
        <f t="shared" si="365"/>
        <v>0</v>
      </c>
      <c r="AL297" s="25">
        <f t="shared" si="366"/>
        <v>0</v>
      </c>
      <c r="AM297" s="29">
        <f t="shared" si="367"/>
        <v>0</v>
      </c>
      <c r="AN297" s="28">
        <f t="shared" si="368"/>
        <v>45401</v>
      </c>
      <c r="AO297" s="373">
        <f t="shared" si="337"/>
        <v>0</v>
      </c>
      <c r="AP297" s="374">
        <f t="shared" si="338"/>
        <v>0</v>
      </c>
      <c r="AQ297" s="27">
        <f t="shared" si="339"/>
        <v>0</v>
      </c>
      <c r="AR297" s="25">
        <f t="shared" si="340"/>
        <v>0</v>
      </c>
      <c r="AS297" s="25">
        <f t="shared" si="341"/>
        <v>0</v>
      </c>
      <c r="AT297" s="25">
        <f t="shared" si="342"/>
        <v>0</v>
      </c>
      <c r="AU297" s="29">
        <f t="shared" si="399"/>
        <v>0</v>
      </c>
      <c r="AV297" s="27">
        <f t="shared" si="369"/>
        <v>0</v>
      </c>
      <c r="AW297" s="27">
        <f t="shared" si="370"/>
        <v>0</v>
      </c>
      <c r="AX297" s="27">
        <f t="shared" si="371"/>
        <v>0</v>
      </c>
      <c r="AY297" s="27">
        <f t="shared" si="372"/>
        <v>0</v>
      </c>
      <c r="BH297" s="2">
        <f t="shared" si="373"/>
        <v>0</v>
      </c>
      <c r="BI297" s="298" t="str">
        <f t="shared" si="374"/>
        <v/>
      </c>
      <c r="BJ297" s="298" t="str">
        <f t="shared" si="343"/>
        <v/>
      </c>
      <c r="BQ297" s="4">
        <f t="shared" si="375"/>
        <v>45401</v>
      </c>
      <c r="BR297" s="112">
        <f t="shared" si="376"/>
        <v>0</v>
      </c>
      <c r="BS297" s="112">
        <f t="shared" si="377"/>
        <v>0</v>
      </c>
      <c r="BT297" s="112">
        <f t="shared" si="378"/>
        <v>0</v>
      </c>
      <c r="BU297" s="112">
        <f t="shared" si="379"/>
        <v>0</v>
      </c>
      <c r="BV297" s="112">
        <f t="shared" si="380"/>
        <v>0</v>
      </c>
      <c r="CI297" s="4">
        <f t="shared" si="381"/>
        <v>45401</v>
      </c>
      <c r="CJ297" s="50">
        <f ca="1">IF($BH297=0,IF($CO297="",CJ296+R297,IF('283'!$K$251=1,VLOOKUP($CO297,PerStBal,2)+R297,IF('283'!$K$253=1,(VLOOKUP($CO297,PerPortion,2)*VLOOKUP($CO297,PerStBal,6))+R297,GL!BS297))),0)</f>
        <v>0</v>
      </c>
      <c r="CK297" s="425">
        <f ca="1">IF($BH297=0,IF($CO297="",CK296+T297,IF('283'!$K$251=1,IF(mname2&lt;&gt;"",VLOOKUP($CO297,PerStBal,3)+T297,0),IF('283'!$K$253=1,(VLOOKUP($CO297,PerPortion,3)*VLOOKUP($CO297,PerStBal,6))+T297,GL!BT297))),0)</f>
        <v>0</v>
      </c>
      <c r="CL297" s="425">
        <f ca="1">IF($BH297=0,IF($CO297="",CL296+V297,IF('283'!$K$251=1,IF(mname3&lt;&gt;"",VLOOKUP($CO297,PerStBal,4)+V297,0),IF('283'!$K$253=1,(VLOOKUP($CO297,PerPortion,4)*VLOOKUP($CO297,PerStBal,6))+V297,GL!BU297))),0)</f>
        <v>0</v>
      </c>
      <c r="CM297" s="425">
        <f ca="1">IF($BH297=0,IF($CO297="",CM296+X297,IF('283'!$K$251=1,IF(mname4&lt;&gt;"",VLOOKUP($CO297,PerStBal,5)+X297,0),IF('283'!$K$253=1,(VLOOKUP($CO297,PerPortion,5)*VLOOKUP($CO297,PerStBal,6))+X297,GL!BV297))),0)</f>
        <v>0</v>
      </c>
      <c r="CN297" s="50">
        <f t="shared" ca="1" si="382"/>
        <v>0</v>
      </c>
      <c r="CO297" s="4" t="str">
        <f t="shared" ca="1" si="383"/>
        <v/>
      </c>
      <c r="CP297" s="377">
        <f t="shared" si="344"/>
        <v>0</v>
      </c>
      <c r="DI297" s="4">
        <f t="shared" si="384"/>
        <v>45401</v>
      </c>
      <c r="DJ297" s="112">
        <f t="shared" ca="1" si="385"/>
        <v>0</v>
      </c>
      <c r="DK297" s="112">
        <f t="shared" si="386"/>
        <v>0</v>
      </c>
      <c r="DL297" s="4">
        <f t="shared" si="387"/>
        <v>45401</v>
      </c>
      <c r="DM297" s="112">
        <f t="shared" ca="1" si="388"/>
        <v>0</v>
      </c>
      <c r="DN297" s="112">
        <f t="shared" si="389"/>
        <v>0</v>
      </c>
      <c r="DO297" s="4">
        <f t="shared" si="390"/>
        <v>45401</v>
      </c>
      <c r="DP297" s="112">
        <f t="shared" ca="1" si="391"/>
        <v>0</v>
      </c>
      <c r="DQ297" s="112">
        <f t="shared" si="392"/>
        <v>0</v>
      </c>
      <c r="DR297" s="4">
        <f t="shared" si="393"/>
        <v>45401</v>
      </c>
      <c r="DS297" s="112">
        <f t="shared" ca="1" si="394"/>
        <v>0</v>
      </c>
      <c r="DT297" s="112">
        <f t="shared" si="395"/>
        <v>0</v>
      </c>
      <c r="DU297" s="4">
        <f t="shared" si="396"/>
        <v>45401</v>
      </c>
      <c r="DV297" s="112">
        <f t="shared" si="397"/>
        <v>0</v>
      </c>
      <c r="DW297" s="112">
        <f t="shared" si="398"/>
        <v>0</v>
      </c>
    </row>
    <row r="298" spans="17:127" x14ac:dyDescent="0.25">
      <c r="Q298" s="4">
        <f t="shared" si="345"/>
        <v>45402</v>
      </c>
      <c r="R298" s="24">
        <f t="shared" si="346"/>
        <v>0</v>
      </c>
      <c r="S298" s="25">
        <f t="shared" si="347"/>
        <v>0</v>
      </c>
      <c r="T298" s="24">
        <f t="shared" si="348"/>
        <v>0</v>
      </c>
      <c r="U298" s="25">
        <f t="shared" si="349"/>
        <v>0</v>
      </c>
      <c r="V298" s="24">
        <f t="shared" si="350"/>
        <v>0</v>
      </c>
      <c r="W298" s="25">
        <f t="shared" si="351"/>
        <v>0</v>
      </c>
      <c r="X298" s="24">
        <f t="shared" si="352"/>
        <v>0</v>
      </c>
      <c r="Y298" s="26">
        <f t="shared" si="353"/>
        <v>0</v>
      </c>
      <c r="Z298" s="27">
        <f t="shared" si="354"/>
        <v>0</v>
      </c>
      <c r="AA298" s="28">
        <f t="shared" si="355"/>
        <v>45402</v>
      </c>
      <c r="AB298" s="24">
        <f t="shared" si="356"/>
        <v>0</v>
      </c>
      <c r="AC298" s="25">
        <f t="shared" si="357"/>
        <v>0</v>
      </c>
      <c r="AD298" s="28">
        <f t="shared" si="358"/>
        <v>45402</v>
      </c>
      <c r="AE298" s="24">
        <f t="shared" si="359"/>
        <v>0</v>
      </c>
      <c r="AF298" s="25">
        <f t="shared" si="360"/>
        <v>0</v>
      </c>
      <c r="AG298" s="28">
        <f t="shared" si="361"/>
        <v>45402</v>
      </c>
      <c r="AH298" s="24">
        <f t="shared" si="362"/>
        <v>0</v>
      </c>
      <c r="AI298" s="25">
        <f t="shared" si="363"/>
        <v>0</v>
      </c>
      <c r="AJ298" s="28">
        <f t="shared" si="364"/>
        <v>45402</v>
      </c>
      <c r="AK298" s="24">
        <f t="shared" si="365"/>
        <v>0</v>
      </c>
      <c r="AL298" s="25">
        <f t="shared" si="366"/>
        <v>0</v>
      </c>
      <c r="AM298" s="29">
        <f t="shared" si="367"/>
        <v>0</v>
      </c>
      <c r="AN298" s="28">
        <f t="shared" si="368"/>
        <v>45402</v>
      </c>
      <c r="AO298" s="373">
        <f t="shared" si="337"/>
        <v>0</v>
      </c>
      <c r="AP298" s="374">
        <f t="shared" si="338"/>
        <v>0</v>
      </c>
      <c r="AQ298" s="27">
        <f t="shared" si="339"/>
        <v>0</v>
      </c>
      <c r="AR298" s="25">
        <f t="shared" si="340"/>
        <v>0</v>
      </c>
      <c r="AS298" s="25">
        <f t="shared" si="341"/>
        <v>0</v>
      </c>
      <c r="AT298" s="25">
        <f t="shared" si="342"/>
        <v>0</v>
      </c>
      <c r="AU298" s="29">
        <f t="shared" si="399"/>
        <v>0</v>
      </c>
      <c r="AV298" s="27">
        <f t="shared" si="369"/>
        <v>0</v>
      </c>
      <c r="AW298" s="27">
        <f t="shared" si="370"/>
        <v>0</v>
      </c>
      <c r="AX298" s="27">
        <f t="shared" si="371"/>
        <v>0</v>
      </c>
      <c r="AY298" s="27">
        <f t="shared" si="372"/>
        <v>0</v>
      </c>
      <c r="BH298" s="2">
        <f t="shared" si="373"/>
        <v>0</v>
      </c>
      <c r="BI298" s="298" t="str">
        <f t="shared" si="374"/>
        <v/>
      </c>
      <c r="BJ298" s="298" t="str">
        <f t="shared" si="343"/>
        <v/>
      </c>
      <c r="BQ298" s="4">
        <f t="shared" si="375"/>
        <v>45402</v>
      </c>
      <c r="BR298" s="112">
        <f t="shared" si="376"/>
        <v>0</v>
      </c>
      <c r="BS298" s="112">
        <f t="shared" si="377"/>
        <v>0</v>
      </c>
      <c r="BT298" s="112">
        <f t="shared" si="378"/>
        <v>0</v>
      </c>
      <c r="BU298" s="112">
        <f t="shared" si="379"/>
        <v>0</v>
      </c>
      <c r="BV298" s="112">
        <f t="shared" si="380"/>
        <v>0</v>
      </c>
      <c r="CI298" s="4">
        <f t="shared" si="381"/>
        <v>45402</v>
      </c>
      <c r="CJ298" s="50">
        <f ca="1">IF($BH298=0,IF($CO298="",CJ297+R298,IF('283'!$K$251=1,VLOOKUP($CO298,PerStBal,2)+R298,IF('283'!$K$253=1,(VLOOKUP($CO298,PerPortion,2)*VLOOKUP($CO298,PerStBal,6))+R298,GL!BS298))),0)</f>
        <v>0</v>
      </c>
      <c r="CK298" s="425">
        <f ca="1">IF($BH298=0,IF($CO298="",CK297+T298,IF('283'!$K$251=1,IF(mname2&lt;&gt;"",VLOOKUP($CO298,PerStBal,3)+T298,0),IF('283'!$K$253=1,(VLOOKUP($CO298,PerPortion,3)*VLOOKUP($CO298,PerStBal,6))+T298,GL!BT298))),0)</f>
        <v>0</v>
      </c>
      <c r="CL298" s="425">
        <f ca="1">IF($BH298=0,IF($CO298="",CL297+V298,IF('283'!$K$251=1,IF(mname3&lt;&gt;"",VLOOKUP($CO298,PerStBal,4)+V298,0),IF('283'!$K$253=1,(VLOOKUP($CO298,PerPortion,4)*VLOOKUP($CO298,PerStBal,6))+V298,GL!BU298))),0)</f>
        <v>0</v>
      </c>
      <c r="CM298" s="425">
        <f ca="1">IF($BH298=0,IF($CO298="",CM297+X298,IF('283'!$K$251=1,IF(mname4&lt;&gt;"",VLOOKUP($CO298,PerStBal,5)+X298,0),IF('283'!$K$253=1,(VLOOKUP($CO298,PerPortion,5)*VLOOKUP($CO298,PerStBal,6))+X298,GL!BV298))),0)</f>
        <v>0</v>
      </c>
      <c r="CN298" s="50">
        <f t="shared" ca="1" si="382"/>
        <v>0</v>
      </c>
      <c r="CO298" s="4" t="str">
        <f t="shared" ca="1" si="383"/>
        <v/>
      </c>
      <c r="CP298" s="377">
        <f t="shared" si="344"/>
        <v>0</v>
      </c>
      <c r="DI298" s="4">
        <f t="shared" si="384"/>
        <v>45402</v>
      </c>
      <c r="DJ298" s="112">
        <f t="shared" ca="1" si="385"/>
        <v>0</v>
      </c>
      <c r="DK298" s="112">
        <f t="shared" si="386"/>
        <v>0</v>
      </c>
      <c r="DL298" s="4">
        <f t="shared" si="387"/>
        <v>45402</v>
      </c>
      <c r="DM298" s="112">
        <f t="shared" ca="1" si="388"/>
        <v>0</v>
      </c>
      <c r="DN298" s="112">
        <f t="shared" si="389"/>
        <v>0</v>
      </c>
      <c r="DO298" s="4">
        <f t="shared" si="390"/>
        <v>45402</v>
      </c>
      <c r="DP298" s="112">
        <f t="shared" ca="1" si="391"/>
        <v>0</v>
      </c>
      <c r="DQ298" s="112">
        <f t="shared" si="392"/>
        <v>0</v>
      </c>
      <c r="DR298" s="4">
        <f t="shared" si="393"/>
        <v>45402</v>
      </c>
      <c r="DS298" s="112">
        <f t="shared" ca="1" si="394"/>
        <v>0</v>
      </c>
      <c r="DT298" s="112">
        <f t="shared" si="395"/>
        <v>0</v>
      </c>
      <c r="DU298" s="4">
        <f t="shared" si="396"/>
        <v>45402</v>
      </c>
      <c r="DV298" s="112">
        <f t="shared" si="397"/>
        <v>0</v>
      </c>
      <c r="DW298" s="112">
        <f t="shared" si="398"/>
        <v>0</v>
      </c>
    </row>
    <row r="299" spans="17:127" x14ac:dyDescent="0.25">
      <c r="Q299" s="4">
        <f t="shared" si="345"/>
        <v>45403</v>
      </c>
      <c r="R299" s="24">
        <f t="shared" si="346"/>
        <v>0</v>
      </c>
      <c r="S299" s="25">
        <f t="shared" si="347"/>
        <v>0</v>
      </c>
      <c r="T299" s="24">
        <f t="shared" si="348"/>
        <v>0</v>
      </c>
      <c r="U299" s="25">
        <f t="shared" si="349"/>
        <v>0</v>
      </c>
      <c r="V299" s="24">
        <f t="shared" si="350"/>
        <v>0</v>
      </c>
      <c r="W299" s="25">
        <f t="shared" si="351"/>
        <v>0</v>
      </c>
      <c r="X299" s="24">
        <f t="shared" si="352"/>
        <v>0</v>
      </c>
      <c r="Y299" s="26">
        <f t="shared" si="353"/>
        <v>0</v>
      </c>
      <c r="Z299" s="27">
        <f t="shared" si="354"/>
        <v>0</v>
      </c>
      <c r="AA299" s="28">
        <f t="shared" si="355"/>
        <v>45403</v>
      </c>
      <c r="AB299" s="24">
        <f t="shared" si="356"/>
        <v>0</v>
      </c>
      <c r="AC299" s="25">
        <f t="shared" si="357"/>
        <v>0</v>
      </c>
      <c r="AD299" s="28">
        <f t="shared" si="358"/>
        <v>45403</v>
      </c>
      <c r="AE299" s="24">
        <f t="shared" si="359"/>
        <v>0</v>
      </c>
      <c r="AF299" s="25">
        <f t="shared" si="360"/>
        <v>0</v>
      </c>
      <c r="AG299" s="28">
        <f t="shared" si="361"/>
        <v>45403</v>
      </c>
      <c r="AH299" s="24">
        <f t="shared" si="362"/>
        <v>0</v>
      </c>
      <c r="AI299" s="25">
        <f t="shared" si="363"/>
        <v>0</v>
      </c>
      <c r="AJ299" s="28">
        <f t="shared" si="364"/>
        <v>45403</v>
      </c>
      <c r="AK299" s="24">
        <f t="shared" si="365"/>
        <v>0</v>
      </c>
      <c r="AL299" s="25">
        <f t="shared" si="366"/>
        <v>0</v>
      </c>
      <c r="AM299" s="29">
        <f t="shared" si="367"/>
        <v>0</v>
      </c>
      <c r="AN299" s="28">
        <f t="shared" si="368"/>
        <v>45403</v>
      </c>
      <c r="AO299" s="373">
        <f t="shared" si="337"/>
        <v>0</v>
      </c>
      <c r="AP299" s="374">
        <f t="shared" si="338"/>
        <v>0</v>
      </c>
      <c r="AQ299" s="27">
        <f t="shared" si="339"/>
        <v>0</v>
      </c>
      <c r="AR299" s="25">
        <f t="shared" si="340"/>
        <v>0</v>
      </c>
      <c r="AS299" s="25">
        <f t="shared" si="341"/>
        <v>0</v>
      </c>
      <c r="AT299" s="25">
        <f t="shared" si="342"/>
        <v>0</v>
      </c>
      <c r="AU299" s="29">
        <f t="shared" si="399"/>
        <v>0</v>
      </c>
      <c r="AV299" s="27">
        <f t="shared" si="369"/>
        <v>0</v>
      </c>
      <c r="AW299" s="27">
        <f t="shared" si="370"/>
        <v>0</v>
      </c>
      <c r="AX299" s="27">
        <f t="shared" si="371"/>
        <v>0</v>
      </c>
      <c r="AY299" s="27">
        <f t="shared" si="372"/>
        <v>0</v>
      </c>
      <c r="BH299" s="2">
        <f t="shared" si="373"/>
        <v>0</v>
      </c>
      <c r="BI299" s="298" t="str">
        <f t="shared" si="374"/>
        <v/>
      </c>
      <c r="BJ299" s="298" t="str">
        <f t="shared" si="343"/>
        <v/>
      </c>
      <c r="BQ299" s="4">
        <f t="shared" si="375"/>
        <v>45403</v>
      </c>
      <c r="BR299" s="112">
        <f t="shared" si="376"/>
        <v>0</v>
      </c>
      <c r="BS299" s="112">
        <f t="shared" si="377"/>
        <v>0</v>
      </c>
      <c r="BT299" s="112">
        <f t="shared" si="378"/>
        <v>0</v>
      </c>
      <c r="BU299" s="112">
        <f t="shared" si="379"/>
        <v>0</v>
      </c>
      <c r="BV299" s="112">
        <f t="shared" si="380"/>
        <v>0</v>
      </c>
      <c r="CI299" s="4">
        <f t="shared" si="381"/>
        <v>45403</v>
      </c>
      <c r="CJ299" s="50">
        <f ca="1">IF($BH299=0,IF($CO299="",CJ298+R299,IF('283'!$K$251=1,VLOOKUP($CO299,PerStBal,2)+R299,IF('283'!$K$253=1,(VLOOKUP($CO299,PerPortion,2)*VLOOKUP($CO299,PerStBal,6))+R299,GL!BS299))),0)</f>
        <v>0</v>
      </c>
      <c r="CK299" s="425">
        <f ca="1">IF($BH299=0,IF($CO299="",CK298+T299,IF('283'!$K$251=1,IF(mname2&lt;&gt;"",VLOOKUP($CO299,PerStBal,3)+T299,0),IF('283'!$K$253=1,(VLOOKUP($CO299,PerPortion,3)*VLOOKUP($CO299,PerStBal,6))+T299,GL!BT299))),0)</f>
        <v>0</v>
      </c>
      <c r="CL299" s="425">
        <f ca="1">IF($BH299=0,IF($CO299="",CL298+V299,IF('283'!$K$251=1,IF(mname3&lt;&gt;"",VLOOKUP($CO299,PerStBal,4)+V299,0),IF('283'!$K$253=1,(VLOOKUP($CO299,PerPortion,4)*VLOOKUP($CO299,PerStBal,6))+V299,GL!BU299))),0)</f>
        <v>0</v>
      </c>
      <c r="CM299" s="425">
        <f ca="1">IF($BH299=0,IF($CO299="",CM298+X299,IF('283'!$K$251=1,IF(mname4&lt;&gt;"",VLOOKUP($CO299,PerStBal,5)+X299,0),IF('283'!$K$253=1,(VLOOKUP($CO299,PerPortion,5)*VLOOKUP($CO299,PerStBal,6))+X299,GL!BV299))),0)</f>
        <v>0</v>
      </c>
      <c r="CN299" s="50">
        <f t="shared" ca="1" si="382"/>
        <v>0</v>
      </c>
      <c r="CO299" s="4" t="str">
        <f t="shared" ca="1" si="383"/>
        <v/>
      </c>
      <c r="CP299" s="377">
        <f t="shared" si="344"/>
        <v>0</v>
      </c>
      <c r="DI299" s="4">
        <f t="shared" si="384"/>
        <v>45403</v>
      </c>
      <c r="DJ299" s="112">
        <f t="shared" ca="1" si="385"/>
        <v>0</v>
      </c>
      <c r="DK299" s="112">
        <f t="shared" si="386"/>
        <v>0</v>
      </c>
      <c r="DL299" s="4">
        <f t="shared" si="387"/>
        <v>45403</v>
      </c>
      <c r="DM299" s="112">
        <f t="shared" ca="1" si="388"/>
        <v>0</v>
      </c>
      <c r="DN299" s="112">
        <f t="shared" si="389"/>
        <v>0</v>
      </c>
      <c r="DO299" s="4">
        <f t="shared" si="390"/>
        <v>45403</v>
      </c>
      <c r="DP299" s="112">
        <f t="shared" ca="1" si="391"/>
        <v>0</v>
      </c>
      <c r="DQ299" s="112">
        <f t="shared" si="392"/>
        <v>0</v>
      </c>
      <c r="DR299" s="4">
        <f t="shared" si="393"/>
        <v>45403</v>
      </c>
      <c r="DS299" s="112">
        <f t="shared" ca="1" si="394"/>
        <v>0</v>
      </c>
      <c r="DT299" s="112">
        <f t="shared" si="395"/>
        <v>0</v>
      </c>
      <c r="DU299" s="4">
        <f t="shared" si="396"/>
        <v>45403</v>
      </c>
      <c r="DV299" s="112">
        <f t="shared" si="397"/>
        <v>0</v>
      </c>
      <c r="DW299" s="112">
        <f t="shared" si="398"/>
        <v>0</v>
      </c>
    </row>
    <row r="300" spans="17:127" x14ac:dyDescent="0.25">
      <c r="Q300" s="4">
        <f t="shared" si="345"/>
        <v>45404</v>
      </c>
      <c r="R300" s="24">
        <f t="shared" si="346"/>
        <v>0</v>
      </c>
      <c r="S300" s="25">
        <f t="shared" si="347"/>
        <v>0</v>
      </c>
      <c r="T300" s="24">
        <f t="shared" si="348"/>
        <v>0</v>
      </c>
      <c r="U300" s="25">
        <f t="shared" si="349"/>
        <v>0</v>
      </c>
      <c r="V300" s="24">
        <f t="shared" si="350"/>
        <v>0</v>
      </c>
      <c r="W300" s="25">
        <f t="shared" si="351"/>
        <v>0</v>
      </c>
      <c r="X300" s="24">
        <f t="shared" si="352"/>
        <v>0</v>
      </c>
      <c r="Y300" s="26">
        <f t="shared" si="353"/>
        <v>0</v>
      </c>
      <c r="Z300" s="27">
        <f t="shared" si="354"/>
        <v>0</v>
      </c>
      <c r="AA300" s="28">
        <f t="shared" si="355"/>
        <v>45404</v>
      </c>
      <c r="AB300" s="24">
        <f t="shared" si="356"/>
        <v>0</v>
      </c>
      <c r="AC300" s="25">
        <f t="shared" si="357"/>
        <v>0</v>
      </c>
      <c r="AD300" s="28">
        <f t="shared" si="358"/>
        <v>45404</v>
      </c>
      <c r="AE300" s="24">
        <f t="shared" si="359"/>
        <v>0</v>
      </c>
      <c r="AF300" s="25">
        <f t="shared" si="360"/>
        <v>0</v>
      </c>
      <c r="AG300" s="28">
        <f t="shared" si="361"/>
        <v>45404</v>
      </c>
      <c r="AH300" s="24">
        <f t="shared" si="362"/>
        <v>0</v>
      </c>
      <c r="AI300" s="25">
        <f t="shared" si="363"/>
        <v>0</v>
      </c>
      <c r="AJ300" s="28">
        <f t="shared" si="364"/>
        <v>45404</v>
      </c>
      <c r="AK300" s="24">
        <f t="shared" si="365"/>
        <v>0</v>
      </c>
      <c r="AL300" s="25">
        <f t="shared" si="366"/>
        <v>0</v>
      </c>
      <c r="AM300" s="29">
        <f t="shared" si="367"/>
        <v>0</v>
      </c>
      <c r="AN300" s="28">
        <f t="shared" si="368"/>
        <v>45404</v>
      </c>
      <c r="AO300" s="373">
        <f t="shared" si="337"/>
        <v>0</v>
      </c>
      <c r="AP300" s="374">
        <f t="shared" si="338"/>
        <v>0</v>
      </c>
      <c r="AQ300" s="27">
        <f t="shared" si="339"/>
        <v>0</v>
      </c>
      <c r="AR300" s="25">
        <f t="shared" si="340"/>
        <v>0</v>
      </c>
      <c r="AS300" s="25">
        <f t="shared" si="341"/>
        <v>0</v>
      </c>
      <c r="AT300" s="25">
        <f t="shared" si="342"/>
        <v>0</v>
      </c>
      <c r="AU300" s="29">
        <f t="shared" si="399"/>
        <v>0</v>
      </c>
      <c r="AV300" s="27">
        <f t="shared" si="369"/>
        <v>0</v>
      </c>
      <c r="AW300" s="27">
        <f t="shared" si="370"/>
        <v>0</v>
      </c>
      <c r="AX300" s="27">
        <f t="shared" si="371"/>
        <v>0</v>
      </c>
      <c r="AY300" s="27">
        <f t="shared" si="372"/>
        <v>0</v>
      </c>
      <c r="BH300" s="2">
        <f t="shared" si="373"/>
        <v>0</v>
      </c>
      <c r="BI300" s="298" t="str">
        <f t="shared" si="374"/>
        <v/>
      </c>
      <c r="BJ300" s="298" t="str">
        <f t="shared" si="343"/>
        <v/>
      </c>
      <c r="BQ300" s="4">
        <f t="shared" si="375"/>
        <v>45404</v>
      </c>
      <c r="BR300" s="112">
        <f t="shared" si="376"/>
        <v>0</v>
      </c>
      <c r="BS300" s="112">
        <f t="shared" si="377"/>
        <v>0</v>
      </c>
      <c r="BT300" s="112">
        <f t="shared" si="378"/>
        <v>0</v>
      </c>
      <c r="BU300" s="112">
        <f t="shared" si="379"/>
        <v>0</v>
      </c>
      <c r="BV300" s="112">
        <f t="shared" si="380"/>
        <v>0</v>
      </c>
      <c r="CI300" s="4">
        <f t="shared" si="381"/>
        <v>45404</v>
      </c>
      <c r="CJ300" s="50">
        <f ca="1">IF($BH300=0,IF($CO300="",CJ299+R300,IF('283'!$K$251=1,VLOOKUP($CO300,PerStBal,2)+R300,IF('283'!$K$253=1,(VLOOKUP($CO300,PerPortion,2)*VLOOKUP($CO300,PerStBal,6))+R300,GL!BS300))),0)</f>
        <v>0</v>
      </c>
      <c r="CK300" s="425">
        <f ca="1">IF($BH300=0,IF($CO300="",CK299+T300,IF('283'!$K$251=1,IF(mname2&lt;&gt;"",VLOOKUP($CO300,PerStBal,3)+T300,0),IF('283'!$K$253=1,(VLOOKUP($CO300,PerPortion,3)*VLOOKUP($CO300,PerStBal,6))+T300,GL!BT300))),0)</f>
        <v>0</v>
      </c>
      <c r="CL300" s="425">
        <f ca="1">IF($BH300=0,IF($CO300="",CL299+V300,IF('283'!$K$251=1,IF(mname3&lt;&gt;"",VLOOKUP($CO300,PerStBal,4)+V300,0),IF('283'!$K$253=1,(VLOOKUP($CO300,PerPortion,4)*VLOOKUP($CO300,PerStBal,6))+V300,GL!BU300))),0)</f>
        <v>0</v>
      </c>
      <c r="CM300" s="425">
        <f ca="1">IF($BH300=0,IF($CO300="",CM299+X300,IF('283'!$K$251=1,IF(mname4&lt;&gt;"",VLOOKUP($CO300,PerStBal,5)+X300,0),IF('283'!$K$253=1,(VLOOKUP($CO300,PerPortion,5)*VLOOKUP($CO300,PerStBal,6))+X300,GL!BV300))),0)</f>
        <v>0</v>
      </c>
      <c r="CN300" s="50">
        <f t="shared" ca="1" si="382"/>
        <v>0</v>
      </c>
      <c r="CO300" s="4" t="str">
        <f t="shared" ca="1" si="383"/>
        <v/>
      </c>
      <c r="CP300" s="377">
        <f t="shared" si="344"/>
        <v>0</v>
      </c>
      <c r="DI300" s="4">
        <f t="shared" si="384"/>
        <v>45404</v>
      </c>
      <c r="DJ300" s="112">
        <f t="shared" ca="1" si="385"/>
        <v>0</v>
      </c>
      <c r="DK300" s="112">
        <f t="shared" si="386"/>
        <v>0</v>
      </c>
      <c r="DL300" s="4">
        <f t="shared" si="387"/>
        <v>45404</v>
      </c>
      <c r="DM300" s="112">
        <f t="shared" ca="1" si="388"/>
        <v>0</v>
      </c>
      <c r="DN300" s="112">
        <f t="shared" si="389"/>
        <v>0</v>
      </c>
      <c r="DO300" s="4">
        <f t="shared" si="390"/>
        <v>45404</v>
      </c>
      <c r="DP300" s="112">
        <f t="shared" ca="1" si="391"/>
        <v>0</v>
      </c>
      <c r="DQ300" s="112">
        <f t="shared" si="392"/>
        <v>0</v>
      </c>
      <c r="DR300" s="4">
        <f t="shared" si="393"/>
        <v>45404</v>
      </c>
      <c r="DS300" s="112">
        <f t="shared" ca="1" si="394"/>
        <v>0</v>
      </c>
      <c r="DT300" s="112">
        <f t="shared" si="395"/>
        <v>0</v>
      </c>
      <c r="DU300" s="4">
        <f t="shared" si="396"/>
        <v>45404</v>
      </c>
      <c r="DV300" s="112">
        <f t="shared" si="397"/>
        <v>0</v>
      </c>
      <c r="DW300" s="112">
        <f t="shared" si="398"/>
        <v>0</v>
      </c>
    </row>
    <row r="301" spans="17:127" x14ac:dyDescent="0.25">
      <c r="Q301" s="4">
        <f t="shared" si="345"/>
        <v>45405</v>
      </c>
      <c r="R301" s="24">
        <f t="shared" si="346"/>
        <v>0</v>
      </c>
      <c r="S301" s="25">
        <f t="shared" si="347"/>
        <v>0</v>
      </c>
      <c r="T301" s="24">
        <f t="shared" si="348"/>
        <v>0</v>
      </c>
      <c r="U301" s="25">
        <f t="shared" si="349"/>
        <v>0</v>
      </c>
      <c r="V301" s="24">
        <f t="shared" si="350"/>
        <v>0</v>
      </c>
      <c r="W301" s="25">
        <f t="shared" si="351"/>
        <v>0</v>
      </c>
      <c r="X301" s="24">
        <f t="shared" si="352"/>
        <v>0</v>
      </c>
      <c r="Y301" s="26">
        <f t="shared" si="353"/>
        <v>0</v>
      </c>
      <c r="Z301" s="27">
        <f t="shared" si="354"/>
        <v>0</v>
      </c>
      <c r="AA301" s="28">
        <f t="shared" si="355"/>
        <v>45405</v>
      </c>
      <c r="AB301" s="24">
        <f t="shared" si="356"/>
        <v>0</v>
      </c>
      <c r="AC301" s="25">
        <f t="shared" si="357"/>
        <v>0</v>
      </c>
      <c r="AD301" s="28">
        <f t="shared" si="358"/>
        <v>45405</v>
      </c>
      <c r="AE301" s="24">
        <f t="shared" si="359"/>
        <v>0</v>
      </c>
      <c r="AF301" s="25">
        <f t="shared" si="360"/>
        <v>0</v>
      </c>
      <c r="AG301" s="28">
        <f t="shared" si="361"/>
        <v>45405</v>
      </c>
      <c r="AH301" s="24">
        <f t="shared" si="362"/>
        <v>0</v>
      </c>
      <c r="AI301" s="25">
        <f t="shared" si="363"/>
        <v>0</v>
      </c>
      <c r="AJ301" s="28">
        <f t="shared" si="364"/>
        <v>45405</v>
      </c>
      <c r="AK301" s="24">
        <f t="shared" si="365"/>
        <v>0</v>
      </c>
      <c r="AL301" s="25">
        <f t="shared" si="366"/>
        <v>0</v>
      </c>
      <c r="AM301" s="29">
        <f t="shared" si="367"/>
        <v>0</v>
      </c>
      <c r="AN301" s="28">
        <f t="shared" si="368"/>
        <v>45405</v>
      </c>
      <c r="AO301" s="373">
        <f t="shared" si="337"/>
        <v>0</v>
      </c>
      <c r="AP301" s="374">
        <f t="shared" si="338"/>
        <v>0</v>
      </c>
      <c r="AQ301" s="27">
        <f t="shared" si="339"/>
        <v>0</v>
      </c>
      <c r="AR301" s="25">
        <f t="shared" si="340"/>
        <v>0</v>
      </c>
      <c r="AS301" s="25">
        <f t="shared" si="341"/>
        <v>0</v>
      </c>
      <c r="AT301" s="25">
        <f t="shared" si="342"/>
        <v>0</v>
      </c>
      <c r="AU301" s="29">
        <f t="shared" si="399"/>
        <v>0</v>
      </c>
      <c r="AV301" s="27">
        <f t="shared" si="369"/>
        <v>0</v>
      </c>
      <c r="AW301" s="27">
        <f t="shared" si="370"/>
        <v>0</v>
      </c>
      <c r="AX301" s="27">
        <f t="shared" si="371"/>
        <v>0</v>
      </c>
      <c r="AY301" s="27">
        <f t="shared" si="372"/>
        <v>0</v>
      </c>
      <c r="BH301" s="2">
        <f t="shared" si="373"/>
        <v>0</v>
      </c>
      <c r="BI301" s="298" t="str">
        <f t="shared" si="374"/>
        <v/>
      </c>
      <c r="BJ301" s="298" t="str">
        <f t="shared" si="343"/>
        <v/>
      </c>
      <c r="BQ301" s="4">
        <f t="shared" si="375"/>
        <v>45405</v>
      </c>
      <c r="BR301" s="112">
        <f t="shared" si="376"/>
        <v>0</v>
      </c>
      <c r="BS301" s="112">
        <f t="shared" si="377"/>
        <v>0</v>
      </c>
      <c r="BT301" s="112">
        <f t="shared" si="378"/>
        <v>0</v>
      </c>
      <c r="BU301" s="112">
        <f t="shared" si="379"/>
        <v>0</v>
      </c>
      <c r="BV301" s="112">
        <f t="shared" si="380"/>
        <v>0</v>
      </c>
      <c r="CI301" s="4">
        <f t="shared" si="381"/>
        <v>45405</v>
      </c>
      <c r="CJ301" s="50">
        <f ca="1">IF($BH301=0,IF($CO301="",CJ300+R301,IF('283'!$K$251=1,VLOOKUP($CO301,PerStBal,2)+R301,IF('283'!$K$253=1,(VLOOKUP($CO301,PerPortion,2)*VLOOKUP($CO301,PerStBal,6))+R301,GL!BS301))),0)</f>
        <v>0</v>
      </c>
      <c r="CK301" s="425">
        <f ca="1">IF($BH301=0,IF($CO301="",CK300+T301,IF('283'!$K$251=1,IF(mname2&lt;&gt;"",VLOOKUP($CO301,PerStBal,3)+T301,0),IF('283'!$K$253=1,(VLOOKUP($CO301,PerPortion,3)*VLOOKUP($CO301,PerStBal,6))+T301,GL!BT301))),0)</f>
        <v>0</v>
      </c>
      <c r="CL301" s="425">
        <f ca="1">IF($BH301=0,IF($CO301="",CL300+V301,IF('283'!$K$251=1,IF(mname3&lt;&gt;"",VLOOKUP($CO301,PerStBal,4)+V301,0),IF('283'!$K$253=1,(VLOOKUP($CO301,PerPortion,4)*VLOOKUP($CO301,PerStBal,6))+V301,GL!BU301))),0)</f>
        <v>0</v>
      </c>
      <c r="CM301" s="425">
        <f ca="1">IF($BH301=0,IF($CO301="",CM300+X301,IF('283'!$K$251=1,IF(mname4&lt;&gt;"",VLOOKUP($CO301,PerStBal,5)+X301,0),IF('283'!$K$253=1,(VLOOKUP($CO301,PerPortion,5)*VLOOKUP($CO301,PerStBal,6))+X301,GL!BV301))),0)</f>
        <v>0</v>
      </c>
      <c r="CN301" s="50">
        <f t="shared" ca="1" si="382"/>
        <v>0</v>
      </c>
      <c r="CO301" s="4" t="str">
        <f t="shared" ca="1" si="383"/>
        <v/>
      </c>
      <c r="CP301" s="377">
        <f t="shared" si="344"/>
        <v>0</v>
      </c>
      <c r="DI301" s="4">
        <f t="shared" si="384"/>
        <v>45405</v>
      </c>
      <c r="DJ301" s="112">
        <f t="shared" ca="1" si="385"/>
        <v>0</v>
      </c>
      <c r="DK301" s="112">
        <f t="shared" si="386"/>
        <v>0</v>
      </c>
      <c r="DL301" s="4">
        <f t="shared" si="387"/>
        <v>45405</v>
      </c>
      <c r="DM301" s="112">
        <f t="shared" ca="1" si="388"/>
        <v>0</v>
      </c>
      <c r="DN301" s="112">
        <f t="shared" si="389"/>
        <v>0</v>
      </c>
      <c r="DO301" s="4">
        <f t="shared" si="390"/>
        <v>45405</v>
      </c>
      <c r="DP301" s="112">
        <f t="shared" ca="1" si="391"/>
        <v>0</v>
      </c>
      <c r="DQ301" s="112">
        <f t="shared" si="392"/>
        <v>0</v>
      </c>
      <c r="DR301" s="4">
        <f t="shared" si="393"/>
        <v>45405</v>
      </c>
      <c r="DS301" s="112">
        <f t="shared" ca="1" si="394"/>
        <v>0</v>
      </c>
      <c r="DT301" s="112">
        <f t="shared" si="395"/>
        <v>0</v>
      </c>
      <c r="DU301" s="4">
        <f t="shared" si="396"/>
        <v>45405</v>
      </c>
      <c r="DV301" s="112">
        <f t="shared" si="397"/>
        <v>0</v>
      </c>
      <c r="DW301" s="112">
        <f t="shared" si="398"/>
        <v>0</v>
      </c>
    </row>
    <row r="302" spans="17:127" x14ac:dyDescent="0.25">
      <c r="Q302" s="4">
        <f t="shared" si="345"/>
        <v>45406</v>
      </c>
      <c r="R302" s="24">
        <f t="shared" si="346"/>
        <v>0</v>
      </c>
      <c r="S302" s="25">
        <f t="shared" si="347"/>
        <v>0</v>
      </c>
      <c r="T302" s="24">
        <f t="shared" si="348"/>
        <v>0</v>
      </c>
      <c r="U302" s="25">
        <f t="shared" si="349"/>
        <v>0</v>
      </c>
      <c r="V302" s="24">
        <f t="shared" si="350"/>
        <v>0</v>
      </c>
      <c r="W302" s="25">
        <f t="shared" si="351"/>
        <v>0</v>
      </c>
      <c r="X302" s="24">
        <f t="shared" si="352"/>
        <v>0</v>
      </c>
      <c r="Y302" s="26">
        <f t="shared" si="353"/>
        <v>0</v>
      </c>
      <c r="Z302" s="27">
        <f t="shared" si="354"/>
        <v>0</v>
      </c>
      <c r="AA302" s="28">
        <f t="shared" si="355"/>
        <v>45406</v>
      </c>
      <c r="AB302" s="24">
        <f t="shared" si="356"/>
        <v>0</v>
      </c>
      <c r="AC302" s="25">
        <f t="shared" si="357"/>
        <v>0</v>
      </c>
      <c r="AD302" s="28">
        <f t="shared" si="358"/>
        <v>45406</v>
      </c>
      <c r="AE302" s="24">
        <f t="shared" si="359"/>
        <v>0</v>
      </c>
      <c r="AF302" s="25">
        <f t="shared" si="360"/>
        <v>0</v>
      </c>
      <c r="AG302" s="28">
        <f t="shared" si="361"/>
        <v>45406</v>
      </c>
      <c r="AH302" s="24">
        <f t="shared" si="362"/>
        <v>0</v>
      </c>
      <c r="AI302" s="25">
        <f t="shared" si="363"/>
        <v>0</v>
      </c>
      <c r="AJ302" s="28">
        <f t="shared" si="364"/>
        <v>45406</v>
      </c>
      <c r="AK302" s="24">
        <f t="shared" si="365"/>
        <v>0</v>
      </c>
      <c r="AL302" s="25">
        <f t="shared" si="366"/>
        <v>0</v>
      </c>
      <c r="AM302" s="29">
        <f t="shared" si="367"/>
        <v>0</v>
      </c>
      <c r="AN302" s="28">
        <f t="shared" si="368"/>
        <v>45406</v>
      </c>
      <c r="AO302" s="373">
        <f t="shared" si="337"/>
        <v>0</v>
      </c>
      <c r="AP302" s="374">
        <f t="shared" si="338"/>
        <v>0</v>
      </c>
      <c r="AQ302" s="27">
        <f t="shared" si="339"/>
        <v>0</v>
      </c>
      <c r="AR302" s="25">
        <f t="shared" si="340"/>
        <v>0</v>
      </c>
      <c r="AS302" s="25">
        <f t="shared" si="341"/>
        <v>0</v>
      </c>
      <c r="AT302" s="25">
        <f t="shared" si="342"/>
        <v>0</v>
      </c>
      <c r="AU302" s="29">
        <f t="shared" si="399"/>
        <v>0</v>
      </c>
      <c r="AV302" s="27">
        <f t="shared" si="369"/>
        <v>0</v>
      </c>
      <c r="AW302" s="27">
        <f t="shared" si="370"/>
        <v>0</v>
      </c>
      <c r="AX302" s="27">
        <f t="shared" si="371"/>
        <v>0</v>
      </c>
      <c r="AY302" s="27">
        <f t="shared" si="372"/>
        <v>0</v>
      </c>
      <c r="BH302" s="2">
        <f t="shared" si="373"/>
        <v>0</v>
      </c>
      <c r="BI302" s="298" t="str">
        <f t="shared" si="374"/>
        <v/>
      </c>
      <c r="BJ302" s="298" t="str">
        <f t="shared" si="343"/>
        <v/>
      </c>
      <c r="BQ302" s="4">
        <f t="shared" si="375"/>
        <v>45406</v>
      </c>
      <c r="BR302" s="112">
        <f t="shared" si="376"/>
        <v>0</v>
      </c>
      <c r="BS302" s="112">
        <f t="shared" si="377"/>
        <v>0</v>
      </c>
      <c r="BT302" s="112">
        <f t="shared" si="378"/>
        <v>0</v>
      </c>
      <c r="BU302" s="112">
        <f t="shared" si="379"/>
        <v>0</v>
      </c>
      <c r="BV302" s="112">
        <f t="shared" si="380"/>
        <v>0</v>
      </c>
      <c r="CI302" s="4">
        <f t="shared" si="381"/>
        <v>45406</v>
      </c>
      <c r="CJ302" s="50">
        <f ca="1">IF($BH302=0,IF($CO302="",CJ301+R302,IF('283'!$K$251=1,VLOOKUP($CO302,PerStBal,2)+R302,IF('283'!$K$253=1,(VLOOKUP($CO302,PerPortion,2)*VLOOKUP($CO302,PerStBal,6))+R302,GL!BS302))),0)</f>
        <v>0</v>
      </c>
      <c r="CK302" s="425">
        <f ca="1">IF($BH302=0,IF($CO302="",CK301+T302,IF('283'!$K$251=1,IF(mname2&lt;&gt;"",VLOOKUP($CO302,PerStBal,3)+T302,0),IF('283'!$K$253=1,(VLOOKUP($CO302,PerPortion,3)*VLOOKUP($CO302,PerStBal,6))+T302,GL!BT302))),0)</f>
        <v>0</v>
      </c>
      <c r="CL302" s="425">
        <f ca="1">IF($BH302=0,IF($CO302="",CL301+V302,IF('283'!$K$251=1,IF(mname3&lt;&gt;"",VLOOKUP($CO302,PerStBal,4)+V302,0),IF('283'!$K$253=1,(VLOOKUP($CO302,PerPortion,4)*VLOOKUP($CO302,PerStBal,6))+V302,GL!BU302))),0)</f>
        <v>0</v>
      </c>
      <c r="CM302" s="425">
        <f ca="1">IF($BH302=0,IF($CO302="",CM301+X302,IF('283'!$K$251=1,IF(mname4&lt;&gt;"",VLOOKUP($CO302,PerStBal,5)+X302,0),IF('283'!$K$253=1,(VLOOKUP($CO302,PerPortion,5)*VLOOKUP($CO302,PerStBal,6))+X302,GL!BV302))),0)</f>
        <v>0</v>
      </c>
      <c r="CN302" s="50">
        <f t="shared" ca="1" si="382"/>
        <v>0</v>
      </c>
      <c r="CO302" s="4" t="str">
        <f t="shared" ca="1" si="383"/>
        <v/>
      </c>
      <c r="CP302" s="377">
        <f t="shared" si="344"/>
        <v>0</v>
      </c>
      <c r="DI302" s="4">
        <f t="shared" si="384"/>
        <v>45406</v>
      </c>
      <c r="DJ302" s="112">
        <f t="shared" ca="1" si="385"/>
        <v>0</v>
      </c>
      <c r="DK302" s="112">
        <f t="shared" si="386"/>
        <v>0</v>
      </c>
      <c r="DL302" s="4">
        <f t="shared" si="387"/>
        <v>45406</v>
      </c>
      <c r="DM302" s="112">
        <f t="shared" ca="1" si="388"/>
        <v>0</v>
      </c>
      <c r="DN302" s="112">
        <f t="shared" si="389"/>
        <v>0</v>
      </c>
      <c r="DO302" s="4">
        <f t="shared" si="390"/>
        <v>45406</v>
      </c>
      <c r="DP302" s="112">
        <f t="shared" ca="1" si="391"/>
        <v>0</v>
      </c>
      <c r="DQ302" s="112">
        <f t="shared" si="392"/>
        <v>0</v>
      </c>
      <c r="DR302" s="4">
        <f t="shared" si="393"/>
        <v>45406</v>
      </c>
      <c r="DS302" s="112">
        <f t="shared" ca="1" si="394"/>
        <v>0</v>
      </c>
      <c r="DT302" s="112">
        <f t="shared" si="395"/>
        <v>0</v>
      </c>
      <c r="DU302" s="4">
        <f t="shared" si="396"/>
        <v>45406</v>
      </c>
      <c r="DV302" s="112">
        <f t="shared" si="397"/>
        <v>0</v>
      </c>
      <c r="DW302" s="112">
        <f t="shared" si="398"/>
        <v>0</v>
      </c>
    </row>
    <row r="303" spans="17:127" x14ac:dyDescent="0.25">
      <c r="Q303" s="4">
        <f t="shared" si="345"/>
        <v>45407</v>
      </c>
      <c r="R303" s="24">
        <f t="shared" si="346"/>
        <v>0</v>
      </c>
      <c r="S303" s="25">
        <f t="shared" si="347"/>
        <v>0</v>
      </c>
      <c r="T303" s="24">
        <f t="shared" si="348"/>
        <v>0</v>
      </c>
      <c r="U303" s="25">
        <f t="shared" si="349"/>
        <v>0</v>
      </c>
      <c r="V303" s="24">
        <f t="shared" si="350"/>
        <v>0</v>
      </c>
      <c r="W303" s="25">
        <f t="shared" si="351"/>
        <v>0</v>
      </c>
      <c r="X303" s="24">
        <f t="shared" si="352"/>
        <v>0</v>
      </c>
      <c r="Y303" s="26">
        <f t="shared" si="353"/>
        <v>0</v>
      </c>
      <c r="Z303" s="27">
        <f t="shared" si="354"/>
        <v>0</v>
      </c>
      <c r="AA303" s="28">
        <f t="shared" si="355"/>
        <v>45407</v>
      </c>
      <c r="AB303" s="24">
        <f t="shared" si="356"/>
        <v>0</v>
      </c>
      <c r="AC303" s="25">
        <f t="shared" si="357"/>
        <v>0</v>
      </c>
      <c r="AD303" s="28">
        <f t="shared" si="358"/>
        <v>45407</v>
      </c>
      <c r="AE303" s="24">
        <f t="shared" si="359"/>
        <v>0</v>
      </c>
      <c r="AF303" s="25">
        <f t="shared" si="360"/>
        <v>0</v>
      </c>
      <c r="AG303" s="28">
        <f t="shared" si="361"/>
        <v>45407</v>
      </c>
      <c r="AH303" s="24">
        <f t="shared" si="362"/>
        <v>0</v>
      </c>
      <c r="AI303" s="25">
        <f t="shared" si="363"/>
        <v>0</v>
      </c>
      <c r="AJ303" s="28">
        <f t="shared" si="364"/>
        <v>45407</v>
      </c>
      <c r="AK303" s="24">
        <f t="shared" si="365"/>
        <v>0</v>
      </c>
      <c r="AL303" s="25">
        <f t="shared" si="366"/>
        <v>0</v>
      </c>
      <c r="AM303" s="29">
        <f t="shared" si="367"/>
        <v>0</v>
      </c>
      <c r="AN303" s="28">
        <f t="shared" si="368"/>
        <v>45407</v>
      </c>
      <c r="AO303" s="373">
        <f t="shared" si="337"/>
        <v>0</v>
      </c>
      <c r="AP303" s="374">
        <f t="shared" si="338"/>
        <v>0</v>
      </c>
      <c r="AQ303" s="27">
        <f t="shared" si="339"/>
        <v>0</v>
      </c>
      <c r="AR303" s="25">
        <f t="shared" si="340"/>
        <v>0</v>
      </c>
      <c r="AS303" s="25">
        <f t="shared" si="341"/>
        <v>0</v>
      </c>
      <c r="AT303" s="25">
        <f t="shared" si="342"/>
        <v>0</v>
      </c>
      <c r="AU303" s="29">
        <f t="shared" si="399"/>
        <v>0</v>
      </c>
      <c r="AV303" s="27">
        <f t="shared" si="369"/>
        <v>0</v>
      </c>
      <c r="AW303" s="27">
        <f t="shared" si="370"/>
        <v>0</v>
      </c>
      <c r="AX303" s="27">
        <f t="shared" si="371"/>
        <v>0</v>
      </c>
      <c r="AY303" s="27">
        <f t="shared" si="372"/>
        <v>0</v>
      </c>
      <c r="BH303" s="2">
        <f t="shared" si="373"/>
        <v>0</v>
      </c>
      <c r="BI303" s="298" t="str">
        <f t="shared" si="374"/>
        <v/>
      </c>
      <c r="BJ303" s="298" t="str">
        <f t="shared" si="343"/>
        <v/>
      </c>
      <c r="BQ303" s="4">
        <f t="shared" si="375"/>
        <v>45407</v>
      </c>
      <c r="BR303" s="112">
        <f t="shared" si="376"/>
        <v>0</v>
      </c>
      <c r="BS303" s="112">
        <f t="shared" si="377"/>
        <v>0</v>
      </c>
      <c r="BT303" s="112">
        <f t="shared" si="378"/>
        <v>0</v>
      </c>
      <c r="BU303" s="112">
        <f t="shared" si="379"/>
        <v>0</v>
      </c>
      <c r="BV303" s="112">
        <f t="shared" si="380"/>
        <v>0</v>
      </c>
      <c r="CI303" s="4">
        <f t="shared" si="381"/>
        <v>45407</v>
      </c>
      <c r="CJ303" s="50">
        <f ca="1">IF($BH303=0,IF($CO303="",CJ302+R303,IF('283'!$K$251=1,VLOOKUP($CO303,PerStBal,2)+R303,IF('283'!$K$253=1,(VLOOKUP($CO303,PerPortion,2)*VLOOKUP($CO303,PerStBal,6))+R303,GL!BS303))),0)</f>
        <v>0</v>
      </c>
      <c r="CK303" s="425">
        <f ca="1">IF($BH303=0,IF($CO303="",CK302+T303,IF('283'!$K$251=1,IF(mname2&lt;&gt;"",VLOOKUP($CO303,PerStBal,3)+T303,0),IF('283'!$K$253=1,(VLOOKUP($CO303,PerPortion,3)*VLOOKUP($CO303,PerStBal,6))+T303,GL!BT303))),0)</f>
        <v>0</v>
      </c>
      <c r="CL303" s="425">
        <f ca="1">IF($BH303=0,IF($CO303="",CL302+V303,IF('283'!$K$251=1,IF(mname3&lt;&gt;"",VLOOKUP($CO303,PerStBal,4)+V303,0),IF('283'!$K$253=1,(VLOOKUP($CO303,PerPortion,4)*VLOOKUP($CO303,PerStBal,6))+V303,GL!BU303))),0)</f>
        <v>0</v>
      </c>
      <c r="CM303" s="425">
        <f ca="1">IF($BH303=0,IF($CO303="",CM302+X303,IF('283'!$K$251=1,IF(mname4&lt;&gt;"",VLOOKUP($CO303,PerStBal,5)+X303,0),IF('283'!$K$253=1,(VLOOKUP($CO303,PerPortion,5)*VLOOKUP($CO303,PerStBal,6))+X303,GL!BV303))),0)</f>
        <v>0</v>
      </c>
      <c r="CN303" s="50">
        <f t="shared" ca="1" si="382"/>
        <v>0</v>
      </c>
      <c r="CO303" s="4" t="str">
        <f t="shared" ca="1" si="383"/>
        <v/>
      </c>
      <c r="CP303" s="377">
        <f t="shared" si="344"/>
        <v>0</v>
      </c>
      <c r="DI303" s="4">
        <f t="shared" si="384"/>
        <v>45407</v>
      </c>
      <c r="DJ303" s="112">
        <f t="shared" ca="1" si="385"/>
        <v>0</v>
      </c>
      <c r="DK303" s="112">
        <f t="shared" si="386"/>
        <v>0</v>
      </c>
      <c r="DL303" s="4">
        <f t="shared" si="387"/>
        <v>45407</v>
      </c>
      <c r="DM303" s="112">
        <f t="shared" ca="1" si="388"/>
        <v>0</v>
      </c>
      <c r="DN303" s="112">
        <f t="shared" si="389"/>
        <v>0</v>
      </c>
      <c r="DO303" s="4">
        <f t="shared" si="390"/>
        <v>45407</v>
      </c>
      <c r="DP303" s="112">
        <f t="shared" ca="1" si="391"/>
        <v>0</v>
      </c>
      <c r="DQ303" s="112">
        <f t="shared" si="392"/>
        <v>0</v>
      </c>
      <c r="DR303" s="4">
        <f t="shared" si="393"/>
        <v>45407</v>
      </c>
      <c r="DS303" s="112">
        <f t="shared" ca="1" si="394"/>
        <v>0</v>
      </c>
      <c r="DT303" s="112">
        <f t="shared" si="395"/>
        <v>0</v>
      </c>
      <c r="DU303" s="4">
        <f t="shared" si="396"/>
        <v>45407</v>
      </c>
      <c r="DV303" s="112">
        <f t="shared" si="397"/>
        <v>0</v>
      </c>
      <c r="DW303" s="112">
        <f t="shared" si="398"/>
        <v>0</v>
      </c>
    </row>
    <row r="304" spans="17:127" x14ac:dyDescent="0.25">
      <c r="Q304" s="4">
        <f t="shared" si="345"/>
        <v>45408</v>
      </c>
      <c r="R304" s="24">
        <f t="shared" si="346"/>
        <v>0</v>
      </c>
      <c r="S304" s="25">
        <f t="shared" si="347"/>
        <v>0</v>
      </c>
      <c r="T304" s="24">
        <f t="shared" si="348"/>
        <v>0</v>
      </c>
      <c r="U304" s="25">
        <f t="shared" si="349"/>
        <v>0</v>
      </c>
      <c r="V304" s="24">
        <f t="shared" si="350"/>
        <v>0</v>
      </c>
      <c r="W304" s="25">
        <f t="shared" si="351"/>
        <v>0</v>
      </c>
      <c r="X304" s="24">
        <f t="shared" si="352"/>
        <v>0</v>
      </c>
      <c r="Y304" s="26">
        <f t="shared" si="353"/>
        <v>0</v>
      </c>
      <c r="Z304" s="27">
        <f t="shared" si="354"/>
        <v>0</v>
      </c>
      <c r="AA304" s="28">
        <f t="shared" si="355"/>
        <v>45408</v>
      </c>
      <c r="AB304" s="24">
        <f t="shared" si="356"/>
        <v>0</v>
      </c>
      <c r="AC304" s="25">
        <f t="shared" si="357"/>
        <v>0</v>
      </c>
      <c r="AD304" s="28">
        <f t="shared" si="358"/>
        <v>45408</v>
      </c>
      <c r="AE304" s="24">
        <f t="shared" si="359"/>
        <v>0</v>
      </c>
      <c r="AF304" s="25">
        <f t="shared" si="360"/>
        <v>0</v>
      </c>
      <c r="AG304" s="28">
        <f t="shared" si="361"/>
        <v>45408</v>
      </c>
      <c r="AH304" s="24">
        <f t="shared" si="362"/>
        <v>0</v>
      </c>
      <c r="AI304" s="25">
        <f t="shared" si="363"/>
        <v>0</v>
      </c>
      <c r="AJ304" s="28">
        <f t="shared" si="364"/>
        <v>45408</v>
      </c>
      <c r="AK304" s="24">
        <f t="shared" si="365"/>
        <v>0</v>
      </c>
      <c r="AL304" s="25">
        <f t="shared" si="366"/>
        <v>0</v>
      </c>
      <c r="AM304" s="29">
        <f t="shared" si="367"/>
        <v>0</v>
      </c>
      <c r="AN304" s="28">
        <f t="shared" si="368"/>
        <v>45408</v>
      </c>
      <c r="AO304" s="373">
        <f t="shared" si="337"/>
        <v>0</v>
      </c>
      <c r="AP304" s="374">
        <f t="shared" si="338"/>
        <v>0</v>
      </c>
      <c r="AQ304" s="27">
        <f t="shared" si="339"/>
        <v>0</v>
      </c>
      <c r="AR304" s="25">
        <f t="shared" si="340"/>
        <v>0</v>
      </c>
      <c r="AS304" s="25">
        <f t="shared" si="341"/>
        <v>0</v>
      </c>
      <c r="AT304" s="25">
        <f t="shared" si="342"/>
        <v>0</v>
      </c>
      <c r="AU304" s="29">
        <f t="shared" si="399"/>
        <v>0</v>
      </c>
      <c r="AV304" s="27">
        <f t="shared" si="369"/>
        <v>0</v>
      </c>
      <c r="AW304" s="27">
        <f t="shared" si="370"/>
        <v>0</v>
      </c>
      <c r="AX304" s="27">
        <f t="shared" si="371"/>
        <v>0</v>
      </c>
      <c r="AY304" s="27">
        <f t="shared" si="372"/>
        <v>0</v>
      </c>
      <c r="BH304" s="2">
        <f t="shared" si="373"/>
        <v>0</v>
      </c>
      <c r="BI304" s="298" t="str">
        <f t="shared" si="374"/>
        <v/>
      </c>
      <c r="BJ304" s="298" t="str">
        <f t="shared" si="343"/>
        <v/>
      </c>
      <c r="BQ304" s="4">
        <f t="shared" si="375"/>
        <v>45408</v>
      </c>
      <c r="BR304" s="112">
        <f t="shared" si="376"/>
        <v>0</v>
      </c>
      <c r="BS304" s="112">
        <f t="shared" si="377"/>
        <v>0</v>
      </c>
      <c r="BT304" s="112">
        <f t="shared" si="378"/>
        <v>0</v>
      </c>
      <c r="BU304" s="112">
        <f t="shared" si="379"/>
        <v>0</v>
      </c>
      <c r="BV304" s="112">
        <f t="shared" si="380"/>
        <v>0</v>
      </c>
      <c r="CI304" s="4">
        <f t="shared" si="381"/>
        <v>45408</v>
      </c>
      <c r="CJ304" s="50">
        <f ca="1">IF($BH304=0,IF($CO304="",CJ303+R304,IF('283'!$K$251=1,VLOOKUP($CO304,PerStBal,2)+R304,IF('283'!$K$253=1,(VLOOKUP($CO304,PerPortion,2)*VLOOKUP($CO304,PerStBal,6))+R304,GL!BS304))),0)</f>
        <v>0</v>
      </c>
      <c r="CK304" s="425">
        <f ca="1">IF($BH304=0,IF($CO304="",CK303+T304,IF('283'!$K$251=1,IF(mname2&lt;&gt;"",VLOOKUP($CO304,PerStBal,3)+T304,0),IF('283'!$K$253=1,(VLOOKUP($CO304,PerPortion,3)*VLOOKUP($CO304,PerStBal,6))+T304,GL!BT304))),0)</f>
        <v>0</v>
      </c>
      <c r="CL304" s="425">
        <f ca="1">IF($BH304=0,IF($CO304="",CL303+V304,IF('283'!$K$251=1,IF(mname3&lt;&gt;"",VLOOKUP($CO304,PerStBal,4)+V304,0),IF('283'!$K$253=1,(VLOOKUP($CO304,PerPortion,4)*VLOOKUP($CO304,PerStBal,6))+V304,GL!BU304))),0)</f>
        <v>0</v>
      </c>
      <c r="CM304" s="425">
        <f ca="1">IF($BH304=0,IF($CO304="",CM303+X304,IF('283'!$K$251=1,IF(mname4&lt;&gt;"",VLOOKUP($CO304,PerStBal,5)+X304,0),IF('283'!$K$253=1,(VLOOKUP($CO304,PerPortion,5)*VLOOKUP($CO304,PerStBal,6))+X304,GL!BV304))),0)</f>
        <v>0</v>
      </c>
      <c r="CN304" s="50">
        <f t="shared" ca="1" si="382"/>
        <v>0</v>
      </c>
      <c r="CO304" s="4" t="str">
        <f t="shared" ca="1" si="383"/>
        <v/>
      </c>
      <c r="CP304" s="377">
        <f t="shared" si="344"/>
        <v>0</v>
      </c>
      <c r="DI304" s="4">
        <f t="shared" si="384"/>
        <v>45408</v>
      </c>
      <c r="DJ304" s="112">
        <f t="shared" ca="1" si="385"/>
        <v>0</v>
      </c>
      <c r="DK304" s="112">
        <f t="shared" si="386"/>
        <v>0</v>
      </c>
      <c r="DL304" s="4">
        <f t="shared" si="387"/>
        <v>45408</v>
      </c>
      <c r="DM304" s="112">
        <f t="shared" ca="1" si="388"/>
        <v>0</v>
      </c>
      <c r="DN304" s="112">
        <f t="shared" si="389"/>
        <v>0</v>
      </c>
      <c r="DO304" s="4">
        <f t="shared" si="390"/>
        <v>45408</v>
      </c>
      <c r="DP304" s="112">
        <f t="shared" ca="1" si="391"/>
        <v>0</v>
      </c>
      <c r="DQ304" s="112">
        <f t="shared" si="392"/>
        <v>0</v>
      </c>
      <c r="DR304" s="4">
        <f t="shared" si="393"/>
        <v>45408</v>
      </c>
      <c r="DS304" s="112">
        <f t="shared" ca="1" si="394"/>
        <v>0</v>
      </c>
      <c r="DT304" s="112">
        <f t="shared" si="395"/>
        <v>0</v>
      </c>
      <c r="DU304" s="4">
        <f t="shared" si="396"/>
        <v>45408</v>
      </c>
      <c r="DV304" s="112">
        <f t="shared" si="397"/>
        <v>0</v>
      </c>
      <c r="DW304" s="112">
        <f t="shared" si="398"/>
        <v>0</v>
      </c>
    </row>
    <row r="305" spans="4:127" x14ac:dyDescent="0.25">
      <c r="Q305" s="4">
        <f t="shared" si="345"/>
        <v>45409</v>
      </c>
      <c r="R305" s="24">
        <f t="shared" si="346"/>
        <v>0</v>
      </c>
      <c r="S305" s="25">
        <f t="shared" si="347"/>
        <v>0</v>
      </c>
      <c r="T305" s="24">
        <f t="shared" si="348"/>
        <v>0</v>
      </c>
      <c r="U305" s="25">
        <f t="shared" si="349"/>
        <v>0</v>
      </c>
      <c r="V305" s="24">
        <f t="shared" si="350"/>
        <v>0</v>
      </c>
      <c r="W305" s="25">
        <f t="shared" si="351"/>
        <v>0</v>
      </c>
      <c r="X305" s="24">
        <f t="shared" si="352"/>
        <v>0</v>
      </c>
      <c r="Y305" s="26">
        <f t="shared" si="353"/>
        <v>0</v>
      </c>
      <c r="Z305" s="27">
        <f t="shared" si="354"/>
        <v>0</v>
      </c>
      <c r="AA305" s="28">
        <f t="shared" si="355"/>
        <v>45409</v>
      </c>
      <c r="AB305" s="24">
        <f t="shared" si="356"/>
        <v>0</v>
      </c>
      <c r="AC305" s="25">
        <f t="shared" si="357"/>
        <v>0</v>
      </c>
      <c r="AD305" s="28">
        <f t="shared" si="358"/>
        <v>45409</v>
      </c>
      <c r="AE305" s="24">
        <f t="shared" si="359"/>
        <v>0</v>
      </c>
      <c r="AF305" s="25">
        <f t="shared" si="360"/>
        <v>0</v>
      </c>
      <c r="AG305" s="28">
        <f t="shared" si="361"/>
        <v>45409</v>
      </c>
      <c r="AH305" s="24">
        <f t="shared" si="362"/>
        <v>0</v>
      </c>
      <c r="AI305" s="25">
        <f t="shared" si="363"/>
        <v>0</v>
      </c>
      <c r="AJ305" s="28">
        <f t="shared" si="364"/>
        <v>45409</v>
      </c>
      <c r="AK305" s="24">
        <f t="shared" si="365"/>
        <v>0</v>
      </c>
      <c r="AL305" s="25">
        <f t="shared" si="366"/>
        <v>0</v>
      </c>
      <c r="AM305" s="29">
        <f t="shared" si="367"/>
        <v>0</v>
      </c>
      <c r="AN305" s="28">
        <f t="shared" si="368"/>
        <v>45409</v>
      </c>
      <c r="AO305" s="373">
        <f t="shared" si="337"/>
        <v>0</v>
      </c>
      <c r="AP305" s="374">
        <f t="shared" si="338"/>
        <v>0</v>
      </c>
      <c r="AQ305" s="27">
        <f t="shared" si="339"/>
        <v>0</v>
      </c>
      <c r="AR305" s="25">
        <f t="shared" si="340"/>
        <v>0</v>
      </c>
      <c r="AS305" s="25">
        <f t="shared" si="341"/>
        <v>0</v>
      </c>
      <c r="AT305" s="25">
        <f t="shared" si="342"/>
        <v>0</v>
      </c>
      <c r="AU305" s="29">
        <f t="shared" si="399"/>
        <v>0</v>
      </c>
      <c r="AV305" s="27">
        <f t="shared" si="369"/>
        <v>0</v>
      </c>
      <c r="AW305" s="27">
        <f t="shared" si="370"/>
        <v>0</v>
      </c>
      <c r="AX305" s="27">
        <f t="shared" si="371"/>
        <v>0</v>
      </c>
      <c r="AY305" s="27">
        <f t="shared" si="372"/>
        <v>0</v>
      </c>
      <c r="BH305" s="2">
        <f t="shared" si="373"/>
        <v>0</v>
      </c>
      <c r="BI305" s="298" t="str">
        <f t="shared" si="374"/>
        <v/>
      </c>
      <c r="BJ305" s="298" t="str">
        <f t="shared" si="343"/>
        <v/>
      </c>
      <c r="BQ305" s="4">
        <f t="shared" si="375"/>
        <v>45409</v>
      </c>
      <c r="BR305" s="112">
        <f t="shared" si="376"/>
        <v>0</v>
      </c>
      <c r="BS305" s="112">
        <f t="shared" si="377"/>
        <v>0</v>
      </c>
      <c r="BT305" s="112">
        <f t="shared" si="378"/>
        <v>0</v>
      </c>
      <c r="BU305" s="112">
        <f t="shared" si="379"/>
        <v>0</v>
      </c>
      <c r="BV305" s="112">
        <f t="shared" si="380"/>
        <v>0</v>
      </c>
      <c r="CI305" s="4">
        <f t="shared" si="381"/>
        <v>45409</v>
      </c>
      <c r="CJ305" s="50">
        <f ca="1">IF($BH305=0,IF($CO305="",CJ304+R305,IF('283'!$K$251=1,VLOOKUP($CO305,PerStBal,2)+R305,IF('283'!$K$253=1,(VLOOKUP($CO305,PerPortion,2)*VLOOKUP($CO305,PerStBal,6))+R305,GL!BS305))),0)</f>
        <v>0</v>
      </c>
      <c r="CK305" s="425">
        <f ca="1">IF($BH305=0,IF($CO305="",CK304+T305,IF('283'!$K$251=1,IF(mname2&lt;&gt;"",VLOOKUP($CO305,PerStBal,3)+T305,0),IF('283'!$K$253=1,(VLOOKUP($CO305,PerPortion,3)*VLOOKUP($CO305,PerStBal,6))+T305,GL!BT305))),0)</f>
        <v>0</v>
      </c>
      <c r="CL305" s="425">
        <f ca="1">IF($BH305=0,IF($CO305="",CL304+V305,IF('283'!$K$251=1,IF(mname3&lt;&gt;"",VLOOKUP($CO305,PerStBal,4)+V305,0),IF('283'!$K$253=1,(VLOOKUP($CO305,PerPortion,4)*VLOOKUP($CO305,PerStBal,6))+V305,GL!BU305))),0)</f>
        <v>0</v>
      </c>
      <c r="CM305" s="425">
        <f ca="1">IF($BH305=0,IF($CO305="",CM304+X305,IF('283'!$K$251=1,IF(mname4&lt;&gt;"",VLOOKUP($CO305,PerStBal,5)+X305,0),IF('283'!$K$253=1,(VLOOKUP($CO305,PerPortion,5)*VLOOKUP($CO305,PerStBal,6))+X305,GL!BV305))),0)</f>
        <v>0</v>
      </c>
      <c r="CN305" s="50">
        <f t="shared" ca="1" si="382"/>
        <v>0</v>
      </c>
      <c r="CO305" s="4" t="str">
        <f t="shared" ca="1" si="383"/>
        <v/>
      </c>
      <c r="CP305" s="377">
        <f t="shared" si="344"/>
        <v>0</v>
      </c>
      <c r="DI305" s="4">
        <f t="shared" si="384"/>
        <v>45409</v>
      </c>
      <c r="DJ305" s="112">
        <f t="shared" ca="1" si="385"/>
        <v>0</v>
      </c>
      <c r="DK305" s="112">
        <f t="shared" si="386"/>
        <v>0</v>
      </c>
      <c r="DL305" s="4">
        <f t="shared" si="387"/>
        <v>45409</v>
      </c>
      <c r="DM305" s="112">
        <f t="shared" ca="1" si="388"/>
        <v>0</v>
      </c>
      <c r="DN305" s="112">
        <f t="shared" si="389"/>
        <v>0</v>
      </c>
      <c r="DO305" s="4">
        <f t="shared" si="390"/>
        <v>45409</v>
      </c>
      <c r="DP305" s="112">
        <f t="shared" ca="1" si="391"/>
        <v>0</v>
      </c>
      <c r="DQ305" s="112">
        <f t="shared" si="392"/>
        <v>0</v>
      </c>
      <c r="DR305" s="4">
        <f t="shared" si="393"/>
        <v>45409</v>
      </c>
      <c r="DS305" s="112">
        <f t="shared" ca="1" si="394"/>
        <v>0</v>
      </c>
      <c r="DT305" s="112">
        <f t="shared" si="395"/>
        <v>0</v>
      </c>
      <c r="DU305" s="4">
        <f t="shared" si="396"/>
        <v>45409</v>
      </c>
      <c r="DV305" s="112">
        <f t="shared" si="397"/>
        <v>0</v>
      </c>
      <c r="DW305" s="112">
        <f t="shared" si="398"/>
        <v>0</v>
      </c>
    </row>
    <row r="306" spans="4:127" x14ac:dyDescent="0.25">
      <c r="Q306" s="4">
        <f t="shared" si="345"/>
        <v>45410</v>
      </c>
      <c r="R306" s="24">
        <f t="shared" si="346"/>
        <v>0</v>
      </c>
      <c r="S306" s="25">
        <f t="shared" si="347"/>
        <v>0</v>
      </c>
      <c r="T306" s="24">
        <f t="shared" si="348"/>
        <v>0</v>
      </c>
      <c r="U306" s="25">
        <f t="shared" si="349"/>
        <v>0</v>
      </c>
      <c r="V306" s="24">
        <f t="shared" si="350"/>
        <v>0</v>
      </c>
      <c r="W306" s="25">
        <f t="shared" si="351"/>
        <v>0</v>
      </c>
      <c r="X306" s="24">
        <f t="shared" si="352"/>
        <v>0</v>
      </c>
      <c r="Y306" s="26">
        <f t="shared" si="353"/>
        <v>0</v>
      </c>
      <c r="Z306" s="27">
        <f t="shared" si="354"/>
        <v>0</v>
      </c>
      <c r="AA306" s="28">
        <f t="shared" si="355"/>
        <v>45410</v>
      </c>
      <c r="AB306" s="24">
        <f t="shared" si="356"/>
        <v>0</v>
      </c>
      <c r="AC306" s="25">
        <f t="shared" si="357"/>
        <v>0</v>
      </c>
      <c r="AD306" s="28">
        <f t="shared" si="358"/>
        <v>45410</v>
      </c>
      <c r="AE306" s="24">
        <f t="shared" si="359"/>
        <v>0</v>
      </c>
      <c r="AF306" s="25">
        <f t="shared" si="360"/>
        <v>0</v>
      </c>
      <c r="AG306" s="28">
        <f t="shared" si="361"/>
        <v>45410</v>
      </c>
      <c r="AH306" s="24">
        <f t="shared" si="362"/>
        <v>0</v>
      </c>
      <c r="AI306" s="25">
        <f t="shared" si="363"/>
        <v>0</v>
      </c>
      <c r="AJ306" s="28">
        <f t="shared" si="364"/>
        <v>45410</v>
      </c>
      <c r="AK306" s="24">
        <f t="shared" si="365"/>
        <v>0</v>
      </c>
      <c r="AL306" s="25">
        <f t="shared" si="366"/>
        <v>0</v>
      </c>
      <c r="AM306" s="29">
        <f t="shared" si="367"/>
        <v>0</v>
      </c>
      <c r="AN306" s="28">
        <f t="shared" si="368"/>
        <v>45410</v>
      </c>
      <c r="AO306" s="373">
        <f t="shared" si="337"/>
        <v>0</v>
      </c>
      <c r="AP306" s="374">
        <f t="shared" si="338"/>
        <v>0</v>
      </c>
      <c r="AQ306" s="27">
        <f t="shared" si="339"/>
        <v>0</v>
      </c>
      <c r="AR306" s="25">
        <f t="shared" si="340"/>
        <v>0</v>
      </c>
      <c r="AS306" s="25">
        <f t="shared" si="341"/>
        <v>0</v>
      </c>
      <c r="AT306" s="25">
        <f t="shared" si="342"/>
        <v>0</v>
      </c>
      <c r="AU306" s="29">
        <f t="shared" si="399"/>
        <v>0</v>
      </c>
      <c r="AV306" s="27">
        <f t="shared" si="369"/>
        <v>0</v>
      </c>
      <c r="AW306" s="27">
        <f t="shared" si="370"/>
        <v>0</v>
      </c>
      <c r="AX306" s="27">
        <f t="shared" si="371"/>
        <v>0</v>
      </c>
      <c r="AY306" s="27">
        <f t="shared" si="372"/>
        <v>0</v>
      </c>
      <c r="BH306" s="2">
        <f t="shared" si="373"/>
        <v>0</v>
      </c>
      <c r="BI306" s="298" t="str">
        <f t="shared" si="374"/>
        <v/>
      </c>
      <c r="BJ306" s="298" t="str">
        <f t="shared" si="343"/>
        <v/>
      </c>
      <c r="BQ306" s="4">
        <f t="shared" si="375"/>
        <v>45410</v>
      </c>
      <c r="BR306" s="112">
        <f t="shared" si="376"/>
        <v>0</v>
      </c>
      <c r="BS306" s="112">
        <f t="shared" si="377"/>
        <v>0</v>
      </c>
      <c r="BT306" s="112">
        <f t="shared" si="378"/>
        <v>0</v>
      </c>
      <c r="BU306" s="112">
        <f t="shared" si="379"/>
        <v>0</v>
      </c>
      <c r="BV306" s="112">
        <f t="shared" si="380"/>
        <v>0</v>
      </c>
      <c r="CI306" s="4">
        <f t="shared" si="381"/>
        <v>45410</v>
      </c>
      <c r="CJ306" s="50">
        <f ca="1">IF($BH306=0,IF($CO306="",CJ305+R306,IF('283'!$K$251=1,VLOOKUP($CO306,PerStBal,2)+R306,IF('283'!$K$253=1,(VLOOKUP($CO306,PerPortion,2)*VLOOKUP($CO306,PerStBal,6))+R306,GL!BS306))),0)</f>
        <v>0</v>
      </c>
      <c r="CK306" s="425">
        <f ca="1">IF($BH306=0,IF($CO306="",CK305+T306,IF('283'!$K$251=1,IF(mname2&lt;&gt;"",VLOOKUP($CO306,PerStBal,3)+T306,0),IF('283'!$K$253=1,(VLOOKUP($CO306,PerPortion,3)*VLOOKUP($CO306,PerStBal,6))+T306,GL!BT306))),0)</f>
        <v>0</v>
      </c>
      <c r="CL306" s="425">
        <f ca="1">IF($BH306=0,IF($CO306="",CL305+V306,IF('283'!$K$251=1,IF(mname3&lt;&gt;"",VLOOKUP($CO306,PerStBal,4)+V306,0),IF('283'!$K$253=1,(VLOOKUP($CO306,PerPortion,4)*VLOOKUP($CO306,PerStBal,6))+V306,GL!BU306))),0)</f>
        <v>0</v>
      </c>
      <c r="CM306" s="425">
        <f ca="1">IF($BH306=0,IF($CO306="",CM305+X306,IF('283'!$K$251=1,IF(mname4&lt;&gt;"",VLOOKUP($CO306,PerStBal,5)+X306,0),IF('283'!$K$253=1,(VLOOKUP($CO306,PerPortion,5)*VLOOKUP($CO306,PerStBal,6))+X306,GL!BV306))),0)</f>
        <v>0</v>
      </c>
      <c r="CN306" s="50">
        <f t="shared" ca="1" si="382"/>
        <v>0</v>
      </c>
      <c r="CO306" s="4" t="str">
        <f t="shared" ca="1" si="383"/>
        <v/>
      </c>
      <c r="CP306" s="377">
        <f t="shared" si="344"/>
        <v>0</v>
      </c>
      <c r="DI306" s="4">
        <f t="shared" si="384"/>
        <v>45410</v>
      </c>
      <c r="DJ306" s="112">
        <f t="shared" ca="1" si="385"/>
        <v>0</v>
      </c>
      <c r="DK306" s="112">
        <f t="shared" si="386"/>
        <v>0</v>
      </c>
      <c r="DL306" s="4">
        <f t="shared" si="387"/>
        <v>45410</v>
      </c>
      <c r="DM306" s="112">
        <f t="shared" ca="1" si="388"/>
        <v>0</v>
      </c>
      <c r="DN306" s="112">
        <f t="shared" si="389"/>
        <v>0</v>
      </c>
      <c r="DO306" s="4">
        <f t="shared" si="390"/>
        <v>45410</v>
      </c>
      <c r="DP306" s="112">
        <f t="shared" ca="1" si="391"/>
        <v>0</v>
      </c>
      <c r="DQ306" s="112">
        <f t="shared" si="392"/>
        <v>0</v>
      </c>
      <c r="DR306" s="4">
        <f t="shared" si="393"/>
        <v>45410</v>
      </c>
      <c r="DS306" s="112">
        <f t="shared" ca="1" si="394"/>
        <v>0</v>
      </c>
      <c r="DT306" s="112">
        <f t="shared" si="395"/>
        <v>0</v>
      </c>
      <c r="DU306" s="4">
        <f t="shared" si="396"/>
        <v>45410</v>
      </c>
      <c r="DV306" s="112">
        <f t="shared" si="397"/>
        <v>0</v>
      </c>
      <c r="DW306" s="112">
        <f t="shared" si="398"/>
        <v>0</v>
      </c>
    </row>
    <row r="307" spans="4:127" x14ac:dyDescent="0.25">
      <c r="Q307" s="4">
        <f t="shared" si="345"/>
        <v>45411</v>
      </c>
      <c r="R307" s="24">
        <f t="shared" si="346"/>
        <v>0</v>
      </c>
      <c r="S307" s="25">
        <f t="shared" si="347"/>
        <v>0</v>
      </c>
      <c r="T307" s="24">
        <f t="shared" si="348"/>
        <v>0</v>
      </c>
      <c r="U307" s="25">
        <f t="shared" si="349"/>
        <v>0</v>
      </c>
      <c r="V307" s="24">
        <f t="shared" si="350"/>
        <v>0</v>
      </c>
      <c r="W307" s="25">
        <f t="shared" si="351"/>
        <v>0</v>
      </c>
      <c r="X307" s="24">
        <f t="shared" si="352"/>
        <v>0</v>
      </c>
      <c r="Y307" s="26">
        <f t="shared" si="353"/>
        <v>0</v>
      </c>
      <c r="Z307" s="27">
        <f t="shared" si="354"/>
        <v>0</v>
      </c>
      <c r="AA307" s="28">
        <f t="shared" si="355"/>
        <v>45411</v>
      </c>
      <c r="AB307" s="24">
        <f t="shared" si="356"/>
        <v>0</v>
      </c>
      <c r="AC307" s="25">
        <f t="shared" si="357"/>
        <v>0</v>
      </c>
      <c r="AD307" s="28">
        <f t="shared" si="358"/>
        <v>45411</v>
      </c>
      <c r="AE307" s="24">
        <f t="shared" si="359"/>
        <v>0</v>
      </c>
      <c r="AF307" s="25">
        <f t="shared" si="360"/>
        <v>0</v>
      </c>
      <c r="AG307" s="28">
        <f t="shared" si="361"/>
        <v>45411</v>
      </c>
      <c r="AH307" s="24">
        <f t="shared" si="362"/>
        <v>0</v>
      </c>
      <c r="AI307" s="25">
        <f t="shared" si="363"/>
        <v>0</v>
      </c>
      <c r="AJ307" s="28">
        <f t="shared" si="364"/>
        <v>45411</v>
      </c>
      <c r="AK307" s="24">
        <f t="shared" si="365"/>
        <v>0</v>
      </c>
      <c r="AL307" s="25">
        <f t="shared" si="366"/>
        <v>0</v>
      </c>
      <c r="AM307" s="29">
        <f t="shared" si="367"/>
        <v>0</v>
      </c>
      <c r="AN307" s="28">
        <f t="shared" si="368"/>
        <v>45411</v>
      </c>
      <c r="AO307" s="373">
        <f t="shared" si="337"/>
        <v>0</v>
      </c>
      <c r="AP307" s="374">
        <f t="shared" si="338"/>
        <v>0</v>
      </c>
      <c r="AQ307" s="27">
        <f t="shared" si="339"/>
        <v>0</v>
      </c>
      <c r="AR307" s="25">
        <f t="shared" si="340"/>
        <v>0</v>
      </c>
      <c r="AS307" s="25">
        <f t="shared" si="341"/>
        <v>0</v>
      </c>
      <c r="AT307" s="25">
        <f t="shared" si="342"/>
        <v>0</v>
      </c>
      <c r="AU307" s="29">
        <f t="shared" si="399"/>
        <v>0</v>
      </c>
      <c r="AV307" s="27">
        <f t="shared" si="369"/>
        <v>0</v>
      </c>
      <c r="AW307" s="27">
        <f t="shared" si="370"/>
        <v>0</v>
      </c>
      <c r="AX307" s="27">
        <f t="shared" si="371"/>
        <v>0</v>
      </c>
      <c r="AY307" s="27">
        <f t="shared" si="372"/>
        <v>0</v>
      </c>
      <c r="BH307" s="2">
        <f t="shared" si="373"/>
        <v>0</v>
      </c>
      <c r="BI307" s="298" t="str">
        <f t="shared" si="374"/>
        <v/>
      </c>
      <c r="BJ307" s="298" t="str">
        <f t="shared" si="343"/>
        <v/>
      </c>
      <c r="BQ307" s="4">
        <f t="shared" si="375"/>
        <v>45411</v>
      </c>
      <c r="BR307" s="112">
        <f t="shared" si="376"/>
        <v>0</v>
      </c>
      <c r="BS307" s="112">
        <f t="shared" si="377"/>
        <v>0</v>
      </c>
      <c r="BT307" s="112">
        <f t="shared" si="378"/>
        <v>0</v>
      </c>
      <c r="BU307" s="112">
        <f t="shared" si="379"/>
        <v>0</v>
      </c>
      <c r="BV307" s="112">
        <f t="shared" si="380"/>
        <v>0</v>
      </c>
      <c r="CI307" s="4">
        <f t="shared" si="381"/>
        <v>45411</v>
      </c>
      <c r="CJ307" s="50">
        <f ca="1">IF($BH307=0,IF($CO307="",CJ306+R307,IF('283'!$K$251=1,VLOOKUP($CO307,PerStBal,2)+R307,IF('283'!$K$253=1,(VLOOKUP($CO307,PerPortion,2)*VLOOKUP($CO307,PerStBal,6))+R307,GL!BS307))),0)</f>
        <v>0</v>
      </c>
      <c r="CK307" s="425">
        <f ca="1">IF($BH307=0,IF($CO307="",CK306+T307,IF('283'!$K$251=1,IF(mname2&lt;&gt;"",VLOOKUP($CO307,PerStBal,3)+T307,0),IF('283'!$K$253=1,(VLOOKUP($CO307,PerPortion,3)*VLOOKUP($CO307,PerStBal,6))+T307,GL!BT307))),0)</f>
        <v>0</v>
      </c>
      <c r="CL307" s="425">
        <f ca="1">IF($BH307=0,IF($CO307="",CL306+V307,IF('283'!$K$251=1,IF(mname3&lt;&gt;"",VLOOKUP($CO307,PerStBal,4)+V307,0),IF('283'!$K$253=1,(VLOOKUP($CO307,PerPortion,4)*VLOOKUP($CO307,PerStBal,6))+V307,GL!BU307))),0)</f>
        <v>0</v>
      </c>
      <c r="CM307" s="425">
        <f ca="1">IF($BH307=0,IF($CO307="",CM306+X307,IF('283'!$K$251=1,IF(mname4&lt;&gt;"",VLOOKUP($CO307,PerStBal,5)+X307,0),IF('283'!$K$253=1,(VLOOKUP($CO307,PerPortion,5)*VLOOKUP($CO307,PerStBal,6))+X307,GL!BV307))),0)</f>
        <v>0</v>
      </c>
      <c r="CN307" s="50">
        <f t="shared" ca="1" si="382"/>
        <v>0</v>
      </c>
      <c r="CO307" s="4" t="str">
        <f t="shared" ca="1" si="383"/>
        <v/>
      </c>
      <c r="CP307" s="377">
        <f t="shared" si="344"/>
        <v>0</v>
      </c>
      <c r="DI307" s="4">
        <f t="shared" si="384"/>
        <v>45411</v>
      </c>
      <c r="DJ307" s="112">
        <f t="shared" ca="1" si="385"/>
        <v>0</v>
      </c>
      <c r="DK307" s="112">
        <f t="shared" si="386"/>
        <v>0</v>
      </c>
      <c r="DL307" s="4">
        <f t="shared" si="387"/>
        <v>45411</v>
      </c>
      <c r="DM307" s="112">
        <f t="shared" ca="1" si="388"/>
        <v>0</v>
      </c>
      <c r="DN307" s="112">
        <f t="shared" si="389"/>
        <v>0</v>
      </c>
      <c r="DO307" s="4">
        <f t="shared" si="390"/>
        <v>45411</v>
      </c>
      <c r="DP307" s="112">
        <f t="shared" ca="1" si="391"/>
        <v>0</v>
      </c>
      <c r="DQ307" s="112">
        <f t="shared" si="392"/>
        <v>0</v>
      </c>
      <c r="DR307" s="4">
        <f t="shared" si="393"/>
        <v>45411</v>
      </c>
      <c r="DS307" s="112">
        <f t="shared" ca="1" si="394"/>
        <v>0</v>
      </c>
      <c r="DT307" s="112">
        <f t="shared" si="395"/>
        <v>0</v>
      </c>
      <c r="DU307" s="4">
        <f t="shared" si="396"/>
        <v>45411</v>
      </c>
      <c r="DV307" s="112">
        <f t="shared" si="397"/>
        <v>0</v>
      </c>
      <c r="DW307" s="112">
        <f t="shared" si="398"/>
        <v>0</v>
      </c>
    </row>
    <row r="308" spans="4:127" x14ac:dyDescent="0.25">
      <c r="Q308" s="4">
        <f t="shared" si="345"/>
        <v>45412</v>
      </c>
      <c r="R308" s="24">
        <f t="shared" si="346"/>
        <v>0</v>
      </c>
      <c r="S308" s="25">
        <f t="shared" si="347"/>
        <v>0</v>
      </c>
      <c r="T308" s="24">
        <f t="shared" si="348"/>
        <v>0</v>
      </c>
      <c r="U308" s="25">
        <f t="shared" si="349"/>
        <v>0</v>
      </c>
      <c r="V308" s="24">
        <f t="shared" si="350"/>
        <v>0</v>
      </c>
      <c r="W308" s="25">
        <f t="shared" si="351"/>
        <v>0</v>
      </c>
      <c r="X308" s="24">
        <f t="shared" si="352"/>
        <v>0</v>
      </c>
      <c r="Y308" s="26">
        <f t="shared" si="353"/>
        <v>0</v>
      </c>
      <c r="Z308" s="27">
        <f t="shared" si="354"/>
        <v>0</v>
      </c>
      <c r="AA308" s="28">
        <f t="shared" si="355"/>
        <v>45412</v>
      </c>
      <c r="AB308" s="24">
        <f t="shared" si="356"/>
        <v>0</v>
      </c>
      <c r="AC308" s="25">
        <f t="shared" si="357"/>
        <v>0</v>
      </c>
      <c r="AD308" s="28">
        <f t="shared" si="358"/>
        <v>45412</v>
      </c>
      <c r="AE308" s="24">
        <f t="shared" si="359"/>
        <v>0</v>
      </c>
      <c r="AF308" s="25">
        <f t="shared" si="360"/>
        <v>0</v>
      </c>
      <c r="AG308" s="28">
        <f t="shared" si="361"/>
        <v>45412</v>
      </c>
      <c r="AH308" s="24">
        <f t="shared" si="362"/>
        <v>0</v>
      </c>
      <c r="AI308" s="25">
        <f t="shared" si="363"/>
        <v>0</v>
      </c>
      <c r="AJ308" s="28">
        <f t="shared" si="364"/>
        <v>45412</v>
      </c>
      <c r="AK308" s="24">
        <f t="shared" si="365"/>
        <v>0</v>
      </c>
      <c r="AL308" s="25">
        <f t="shared" si="366"/>
        <v>0</v>
      </c>
      <c r="AM308" s="29">
        <f t="shared" si="367"/>
        <v>0</v>
      </c>
      <c r="AN308" s="28">
        <f t="shared" si="368"/>
        <v>45412</v>
      </c>
      <c r="AO308" s="373">
        <f t="shared" si="337"/>
        <v>0</v>
      </c>
      <c r="AP308" s="374">
        <f t="shared" si="338"/>
        <v>0</v>
      </c>
      <c r="AQ308" s="27">
        <f t="shared" si="339"/>
        <v>0</v>
      </c>
      <c r="AR308" s="25">
        <f t="shared" si="340"/>
        <v>0</v>
      </c>
      <c r="AS308" s="25">
        <f t="shared" si="341"/>
        <v>0</v>
      </c>
      <c r="AT308" s="25">
        <f t="shared" si="342"/>
        <v>0</v>
      </c>
      <c r="AU308" s="29">
        <f t="shared" si="399"/>
        <v>0</v>
      </c>
      <c r="AV308" s="27">
        <f t="shared" si="369"/>
        <v>0</v>
      </c>
      <c r="AW308" s="27">
        <f t="shared" si="370"/>
        <v>0</v>
      </c>
      <c r="AX308" s="27">
        <f t="shared" si="371"/>
        <v>0</v>
      </c>
      <c r="AY308" s="27">
        <f t="shared" si="372"/>
        <v>0</v>
      </c>
      <c r="BH308" s="2">
        <f t="shared" si="373"/>
        <v>0</v>
      </c>
      <c r="BI308" s="298" t="str">
        <f t="shared" si="374"/>
        <v/>
      </c>
      <c r="BJ308" s="298" t="str">
        <f t="shared" si="343"/>
        <v/>
      </c>
      <c r="BQ308" s="4">
        <f t="shared" si="375"/>
        <v>45412</v>
      </c>
      <c r="BR308" s="112">
        <f t="shared" si="376"/>
        <v>0</v>
      </c>
      <c r="BS308" s="112">
        <f t="shared" si="377"/>
        <v>0</v>
      </c>
      <c r="BT308" s="112">
        <f t="shared" si="378"/>
        <v>0</v>
      </c>
      <c r="BU308" s="112">
        <f t="shared" si="379"/>
        <v>0</v>
      </c>
      <c r="BV308" s="112">
        <f t="shared" si="380"/>
        <v>0</v>
      </c>
      <c r="CI308" s="4">
        <f t="shared" si="381"/>
        <v>45412</v>
      </c>
      <c r="CJ308" s="50">
        <f ca="1">IF($BH308=0,IF($CO308="",CJ307+R308,IF('283'!$K$251=1,VLOOKUP($CO308,PerStBal,2)+R308,IF('283'!$K$253=1,(VLOOKUP($CO308,PerPortion,2)*VLOOKUP($CO308,PerStBal,6))+R308,GL!BS308))),0)</f>
        <v>0</v>
      </c>
      <c r="CK308" s="425">
        <f ca="1">IF($BH308=0,IF($CO308="",CK307+T308,IF('283'!$K$251=1,IF(mname2&lt;&gt;"",VLOOKUP($CO308,PerStBal,3)+T308,0),IF('283'!$K$253=1,(VLOOKUP($CO308,PerPortion,3)*VLOOKUP($CO308,PerStBal,6))+T308,GL!BT308))),0)</f>
        <v>0</v>
      </c>
      <c r="CL308" s="425">
        <f ca="1">IF($BH308=0,IF($CO308="",CL307+V308,IF('283'!$K$251=1,IF(mname3&lt;&gt;"",VLOOKUP($CO308,PerStBal,4)+V308,0),IF('283'!$K$253=1,(VLOOKUP($CO308,PerPortion,4)*VLOOKUP($CO308,PerStBal,6))+V308,GL!BU308))),0)</f>
        <v>0</v>
      </c>
      <c r="CM308" s="425">
        <f ca="1">IF($BH308=0,IF($CO308="",CM307+X308,IF('283'!$K$251=1,IF(mname4&lt;&gt;"",VLOOKUP($CO308,PerStBal,5)+X308,0),IF('283'!$K$253=1,(VLOOKUP($CO308,PerPortion,5)*VLOOKUP($CO308,PerStBal,6))+X308,GL!BV308))),0)</f>
        <v>0</v>
      </c>
      <c r="CN308" s="50">
        <f t="shared" ca="1" si="382"/>
        <v>0</v>
      </c>
      <c r="CO308" s="4" t="str">
        <f t="shared" ca="1" si="383"/>
        <v/>
      </c>
      <c r="CP308" s="377">
        <f t="shared" si="344"/>
        <v>0</v>
      </c>
      <c r="DI308" s="4">
        <f t="shared" si="384"/>
        <v>45412</v>
      </c>
      <c r="DJ308" s="112">
        <f t="shared" ca="1" si="385"/>
        <v>0</v>
      </c>
      <c r="DK308" s="112">
        <f t="shared" si="386"/>
        <v>0</v>
      </c>
      <c r="DL308" s="4">
        <f t="shared" si="387"/>
        <v>45412</v>
      </c>
      <c r="DM308" s="112">
        <f t="shared" ca="1" si="388"/>
        <v>0</v>
      </c>
      <c r="DN308" s="112">
        <f t="shared" si="389"/>
        <v>0</v>
      </c>
      <c r="DO308" s="4">
        <f t="shared" si="390"/>
        <v>45412</v>
      </c>
      <c r="DP308" s="112">
        <f t="shared" ca="1" si="391"/>
        <v>0</v>
      </c>
      <c r="DQ308" s="112">
        <f t="shared" si="392"/>
        <v>0</v>
      </c>
      <c r="DR308" s="4">
        <f t="shared" si="393"/>
        <v>45412</v>
      </c>
      <c r="DS308" s="112">
        <f t="shared" ca="1" si="394"/>
        <v>0</v>
      </c>
      <c r="DT308" s="112">
        <f t="shared" si="395"/>
        <v>0</v>
      </c>
      <c r="DU308" s="4">
        <f t="shared" si="396"/>
        <v>45412</v>
      </c>
      <c r="DV308" s="112">
        <f t="shared" si="397"/>
        <v>0</v>
      </c>
      <c r="DW308" s="112">
        <f t="shared" si="398"/>
        <v>0</v>
      </c>
    </row>
    <row r="309" spans="4:127" x14ac:dyDescent="0.25">
      <c r="Q309" s="4">
        <f t="shared" si="345"/>
        <v>45413</v>
      </c>
      <c r="R309" s="24">
        <f t="shared" si="346"/>
        <v>0</v>
      </c>
      <c r="S309" s="25">
        <f t="shared" si="347"/>
        <v>0</v>
      </c>
      <c r="T309" s="24">
        <f t="shared" si="348"/>
        <v>0</v>
      </c>
      <c r="U309" s="25">
        <f t="shared" si="349"/>
        <v>0</v>
      </c>
      <c r="V309" s="24">
        <f t="shared" si="350"/>
        <v>0</v>
      </c>
      <c r="W309" s="25">
        <f t="shared" si="351"/>
        <v>0</v>
      </c>
      <c r="X309" s="24">
        <f t="shared" si="352"/>
        <v>0</v>
      </c>
      <c r="Y309" s="26">
        <f t="shared" si="353"/>
        <v>0</v>
      </c>
      <c r="Z309" s="27">
        <f t="shared" si="354"/>
        <v>0</v>
      </c>
      <c r="AA309" s="28">
        <f t="shared" si="355"/>
        <v>45413</v>
      </c>
      <c r="AB309" s="24">
        <f t="shared" si="356"/>
        <v>0</v>
      </c>
      <c r="AC309" s="25">
        <f t="shared" si="357"/>
        <v>0</v>
      </c>
      <c r="AD309" s="28">
        <f t="shared" si="358"/>
        <v>45413</v>
      </c>
      <c r="AE309" s="24">
        <f t="shared" si="359"/>
        <v>0</v>
      </c>
      <c r="AF309" s="25">
        <f t="shared" si="360"/>
        <v>0</v>
      </c>
      <c r="AG309" s="28">
        <f t="shared" si="361"/>
        <v>45413</v>
      </c>
      <c r="AH309" s="24">
        <f t="shared" si="362"/>
        <v>0</v>
      </c>
      <c r="AI309" s="25">
        <f t="shared" si="363"/>
        <v>0</v>
      </c>
      <c r="AJ309" s="28">
        <f t="shared" si="364"/>
        <v>45413</v>
      </c>
      <c r="AK309" s="24">
        <f t="shared" si="365"/>
        <v>0</v>
      </c>
      <c r="AL309" s="25">
        <f t="shared" si="366"/>
        <v>0</v>
      </c>
      <c r="AM309" s="29">
        <f t="shared" si="367"/>
        <v>0</v>
      </c>
      <c r="AN309" s="28">
        <f t="shared" si="368"/>
        <v>45413</v>
      </c>
      <c r="AO309" s="373">
        <f t="shared" si="337"/>
        <v>0</v>
      </c>
      <c r="AP309" s="374">
        <f t="shared" si="338"/>
        <v>0</v>
      </c>
      <c r="AQ309" s="27">
        <f t="shared" si="339"/>
        <v>0</v>
      </c>
      <c r="AR309" s="25">
        <f t="shared" si="340"/>
        <v>0</v>
      </c>
      <c r="AS309" s="25">
        <f t="shared" si="341"/>
        <v>0</v>
      </c>
      <c r="AT309" s="25">
        <f t="shared" si="342"/>
        <v>0</v>
      </c>
      <c r="AU309" s="29">
        <f t="shared" si="399"/>
        <v>0</v>
      </c>
      <c r="AV309" s="27">
        <f t="shared" si="369"/>
        <v>0</v>
      </c>
      <c r="AW309" s="27">
        <f t="shared" si="370"/>
        <v>0</v>
      </c>
      <c r="AX309" s="27">
        <f t="shared" si="371"/>
        <v>0</v>
      </c>
      <c r="AY309" s="27">
        <f t="shared" si="372"/>
        <v>0</v>
      </c>
      <c r="BH309" s="2">
        <f t="shared" si="373"/>
        <v>0</v>
      </c>
      <c r="BI309" s="298" t="str">
        <f t="shared" si="374"/>
        <v/>
      </c>
      <c r="BJ309" s="298" t="str">
        <f t="shared" si="343"/>
        <v/>
      </c>
      <c r="BQ309" s="4">
        <f t="shared" si="375"/>
        <v>45413</v>
      </c>
      <c r="BR309" s="112">
        <f t="shared" si="376"/>
        <v>0</v>
      </c>
      <c r="BS309" s="112">
        <f t="shared" si="377"/>
        <v>0</v>
      </c>
      <c r="BT309" s="112">
        <f t="shared" si="378"/>
        <v>0</v>
      </c>
      <c r="BU309" s="112">
        <f t="shared" si="379"/>
        <v>0</v>
      </c>
      <c r="BV309" s="112">
        <f t="shared" si="380"/>
        <v>0</v>
      </c>
      <c r="CI309" s="4">
        <f t="shared" si="381"/>
        <v>45413</v>
      </c>
      <c r="CJ309" s="50">
        <f ca="1">IF($BH309=0,IF($CO309="",CJ308+R309,IF('283'!$K$251=1,VLOOKUP($CO309,PerStBal,2)+R309,IF('283'!$K$253=1,(VLOOKUP($CO309,PerPortion,2)*VLOOKUP($CO309,PerStBal,6))+R309,GL!BS309))),0)</f>
        <v>0</v>
      </c>
      <c r="CK309" s="425">
        <f ca="1">IF($BH309=0,IF($CO309="",CK308+T309,IF('283'!$K$251=1,IF(mname2&lt;&gt;"",VLOOKUP($CO309,PerStBal,3)+T309,0),IF('283'!$K$253=1,(VLOOKUP($CO309,PerPortion,3)*VLOOKUP($CO309,PerStBal,6))+T309,GL!BT309))),0)</f>
        <v>0</v>
      </c>
      <c r="CL309" s="425">
        <f ca="1">IF($BH309=0,IF($CO309="",CL308+V309,IF('283'!$K$251=1,IF(mname3&lt;&gt;"",VLOOKUP($CO309,PerStBal,4)+V309,0),IF('283'!$K$253=1,(VLOOKUP($CO309,PerPortion,4)*VLOOKUP($CO309,PerStBal,6))+V309,GL!BU309))),0)</f>
        <v>0</v>
      </c>
      <c r="CM309" s="425">
        <f ca="1">IF($BH309=0,IF($CO309="",CM308+X309,IF('283'!$K$251=1,IF(mname4&lt;&gt;"",VLOOKUP($CO309,PerStBal,5)+X309,0),IF('283'!$K$253=1,(VLOOKUP($CO309,PerPortion,5)*VLOOKUP($CO309,PerStBal,6))+X309,GL!BV309))),0)</f>
        <v>0</v>
      </c>
      <c r="CN309" s="50">
        <f t="shared" ca="1" si="382"/>
        <v>0</v>
      </c>
      <c r="CO309" s="4" t="str">
        <f t="shared" ca="1" si="383"/>
        <v/>
      </c>
      <c r="CP309" s="377">
        <f t="shared" si="344"/>
        <v>0</v>
      </c>
      <c r="DI309" s="4">
        <f t="shared" si="384"/>
        <v>45413</v>
      </c>
      <c r="DJ309" s="112">
        <f t="shared" ca="1" si="385"/>
        <v>0</v>
      </c>
      <c r="DK309" s="112">
        <f t="shared" si="386"/>
        <v>0</v>
      </c>
      <c r="DL309" s="4">
        <f t="shared" si="387"/>
        <v>45413</v>
      </c>
      <c r="DM309" s="112">
        <f t="shared" ca="1" si="388"/>
        <v>0</v>
      </c>
      <c r="DN309" s="112">
        <f t="shared" si="389"/>
        <v>0</v>
      </c>
      <c r="DO309" s="4">
        <f t="shared" si="390"/>
        <v>45413</v>
      </c>
      <c r="DP309" s="112">
        <f t="shared" ca="1" si="391"/>
        <v>0</v>
      </c>
      <c r="DQ309" s="112">
        <f t="shared" si="392"/>
        <v>0</v>
      </c>
      <c r="DR309" s="4">
        <f t="shared" si="393"/>
        <v>45413</v>
      </c>
      <c r="DS309" s="112">
        <f t="shared" ca="1" si="394"/>
        <v>0</v>
      </c>
      <c r="DT309" s="112">
        <f t="shared" si="395"/>
        <v>0</v>
      </c>
      <c r="DU309" s="4">
        <f t="shared" si="396"/>
        <v>45413</v>
      </c>
      <c r="DV309" s="112">
        <f t="shared" si="397"/>
        <v>0</v>
      </c>
      <c r="DW309" s="112">
        <f t="shared" si="398"/>
        <v>0</v>
      </c>
    </row>
    <row r="310" spans="4:127" x14ac:dyDescent="0.25">
      <c r="Q310" s="4">
        <f t="shared" si="345"/>
        <v>45414</v>
      </c>
      <c r="R310" s="24">
        <f t="shared" si="346"/>
        <v>0</v>
      </c>
      <c r="S310" s="25">
        <f t="shared" si="347"/>
        <v>0</v>
      </c>
      <c r="T310" s="24">
        <f t="shared" si="348"/>
        <v>0</v>
      </c>
      <c r="U310" s="25">
        <f t="shared" si="349"/>
        <v>0</v>
      </c>
      <c r="V310" s="24">
        <f t="shared" si="350"/>
        <v>0</v>
      </c>
      <c r="W310" s="25">
        <f t="shared" si="351"/>
        <v>0</v>
      </c>
      <c r="X310" s="24">
        <f t="shared" si="352"/>
        <v>0</v>
      </c>
      <c r="Y310" s="26">
        <f t="shared" si="353"/>
        <v>0</v>
      </c>
      <c r="Z310" s="27">
        <f t="shared" si="354"/>
        <v>0</v>
      </c>
      <c r="AA310" s="28">
        <f t="shared" si="355"/>
        <v>45414</v>
      </c>
      <c r="AB310" s="24">
        <f t="shared" si="356"/>
        <v>0</v>
      </c>
      <c r="AC310" s="25">
        <f t="shared" si="357"/>
        <v>0</v>
      </c>
      <c r="AD310" s="28">
        <f t="shared" si="358"/>
        <v>45414</v>
      </c>
      <c r="AE310" s="24">
        <f t="shared" si="359"/>
        <v>0</v>
      </c>
      <c r="AF310" s="25">
        <f t="shared" si="360"/>
        <v>0</v>
      </c>
      <c r="AG310" s="28">
        <f t="shared" si="361"/>
        <v>45414</v>
      </c>
      <c r="AH310" s="24">
        <f t="shared" si="362"/>
        <v>0</v>
      </c>
      <c r="AI310" s="25">
        <f t="shared" si="363"/>
        <v>0</v>
      </c>
      <c r="AJ310" s="28">
        <f t="shared" si="364"/>
        <v>45414</v>
      </c>
      <c r="AK310" s="24">
        <f t="shared" si="365"/>
        <v>0</v>
      </c>
      <c r="AL310" s="25">
        <f t="shared" si="366"/>
        <v>0</v>
      </c>
      <c r="AM310" s="29">
        <f t="shared" si="367"/>
        <v>0</v>
      </c>
      <c r="AN310" s="28">
        <f t="shared" si="368"/>
        <v>45414</v>
      </c>
      <c r="AO310" s="373">
        <f t="shared" si="337"/>
        <v>0</v>
      </c>
      <c r="AP310" s="374">
        <f t="shared" si="338"/>
        <v>0</v>
      </c>
      <c r="AQ310" s="27">
        <f t="shared" si="339"/>
        <v>0</v>
      </c>
      <c r="AR310" s="25">
        <f t="shared" si="340"/>
        <v>0</v>
      </c>
      <c r="AS310" s="25">
        <f t="shared" si="341"/>
        <v>0</v>
      </c>
      <c r="AT310" s="25">
        <f t="shared" si="342"/>
        <v>0</v>
      </c>
      <c r="AU310" s="29">
        <f t="shared" si="399"/>
        <v>0</v>
      </c>
      <c r="AV310" s="27">
        <f t="shared" si="369"/>
        <v>0</v>
      </c>
      <c r="AW310" s="27">
        <f t="shared" si="370"/>
        <v>0</v>
      </c>
      <c r="AX310" s="27">
        <f t="shared" si="371"/>
        <v>0</v>
      </c>
      <c r="AY310" s="27">
        <f t="shared" si="372"/>
        <v>0</v>
      </c>
      <c r="BH310" s="2">
        <f t="shared" si="373"/>
        <v>0</v>
      </c>
      <c r="BI310" s="298" t="str">
        <f t="shared" si="374"/>
        <v/>
      </c>
      <c r="BJ310" s="298" t="str">
        <f t="shared" si="343"/>
        <v/>
      </c>
      <c r="BQ310" s="4">
        <f t="shared" si="375"/>
        <v>45414</v>
      </c>
      <c r="BR310" s="112">
        <f t="shared" si="376"/>
        <v>0</v>
      </c>
      <c r="BS310" s="112">
        <f t="shared" si="377"/>
        <v>0</v>
      </c>
      <c r="BT310" s="112">
        <f t="shared" si="378"/>
        <v>0</v>
      </c>
      <c r="BU310" s="112">
        <f t="shared" si="379"/>
        <v>0</v>
      </c>
      <c r="BV310" s="112">
        <f t="shared" si="380"/>
        <v>0</v>
      </c>
      <c r="CI310" s="4">
        <f t="shared" si="381"/>
        <v>45414</v>
      </c>
      <c r="CJ310" s="50">
        <f ca="1">IF($BH310=0,IF($CO310="",CJ309+R310,IF('283'!$K$251=1,VLOOKUP($CO310,PerStBal,2)+R310,IF('283'!$K$253=1,(VLOOKUP($CO310,PerPortion,2)*VLOOKUP($CO310,PerStBal,6))+R310,GL!BS310))),0)</f>
        <v>0</v>
      </c>
      <c r="CK310" s="425">
        <f ca="1">IF($BH310=0,IF($CO310="",CK309+T310,IF('283'!$K$251=1,IF(mname2&lt;&gt;"",VLOOKUP($CO310,PerStBal,3)+T310,0),IF('283'!$K$253=1,(VLOOKUP($CO310,PerPortion,3)*VLOOKUP($CO310,PerStBal,6))+T310,GL!BT310))),0)</f>
        <v>0</v>
      </c>
      <c r="CL310" s="425">
        <f ca="1">IF($BH310=0,IF($CO310="",CL309+V310,IF('283'!$K$251=1,IF(mname3&lt;&gt;"",VLOOKUP($CO310,PerStBal,4)+V310,0),IF('283'!$K$253=1,(VLOOKUP($CO310,PerPortion,4)*VLOOKUP($CO310,PerStBal,6))+V310,GL!BU310))),0)</f>
        <v>0</v>
      </c>
      <c r="CM310" s="425">
        <f ca="1">IF($BH310=0,IF($CO310="",CM309+X310,IF('283'!$K$251=1,IF(mname4&lt;&gt;"",VLOOKUP($CO310,PerStBal,5)+X310,0),IF('283'!$K$253=1,(VLOOKUP($CO310,PerPortion,5)*VLOOKUP($CO310,PerStBal,6))+X310,GL!BV310))),0)</f>
        <v>0</v>
      </c>
      <c r="CN310" s="50">
        <f t="shared" ca="1" si="382"/>
        <v>0</v>
      </c>
      <c r="CO310" s="4" t="str">
        <f t="shared" ca="1" si="383"/>
        <v/>
      </c>
      <c r="CP310" s="377">
        <f t="shared" si="344"/>
        <v>0</v>
      </c>
      <c r="DI310" s="4">
        <f t="shared" si="384"/>
        <v>45414</v>
      </c>
      <c r="DJ310" s="112">
        <f t="shared" ca="1" si="385"/>
        <v>0</v>
      </c>
      <c r="DK310" s="112">
        <f t="shared" si="386"/>
        <v>0</v>
      </c>
      <c r="DL310" s="4">
        <f t="shared" si="387"/>
        <v>45414</v>
      </c>
      <c r="DM310" s="112">
        <f t="shared" ca="1" si="388"/>
        <v>0</v>
      </c>
      <c r="DN310" s="112">
        <f t="shared" si="389"/>
        <v>0</v>
      </c>
      <c r="DO310" s="4">
        <f t="shared" si="390"/>
        <v>45414</v>
      </c>
      <c r="DP310" s="112">
        <f t="shared" ca="1" si="391"/>
        <v>0</v>
      </c>
      <c r="DQ310" s="112">
        <f t="shared" si="392"/>
        <v>0</v>
      </c>
      <c r="DR310" s="4">
        <f t="shared" si="393"/>
        <v>45414</v>
      </c>
      <c r="DS310" s="112">
        <f t="shared" ca="1" si="394"/>
        <v>0</v>
      </c>
      <c r="DT310" s="112">
        <f t="shared" si="395"/>
        <v>0</v>
      </c>
      <c r="DU310" s="4">
        <f t="shared" si="396"/>
        <v>45414</v>
      </c>
      <c r="DV310" s="112">
        <f t="shared" si="397"/>
        <v>0</v>
      </c>
      <c r="DW310" s="112">
        <f t="shared" si="398"/>
        <v>0</v>
      </c>
    </row>
    <row r="311" spans="4:127" x14ac:dyDescent="0.25">
      <c r="Q311" s="4">
        <f t="shared" si="345"/>
        <v>45415</v>
      </c>
      <c r="R311" s="24">
        <f t="shared" si="346"/>
        <v>0</v>
      </c>
      <c r="S311" s="25">
        <f t="shared" si="347"/>
        <v>0</v>
      </c>
      <c r="T311" s="24">
        <f t="shared" si="348"/>
        <v>0</v>
      </c>
      <c r="U311" s="25">
        <f t="shared" si="349"/>
        <v>0</v>
      </c>
      <c r="V311" s="24">
        <f t="shared" si="350"/>
        <v>0</v>
      </c>
      <c r="W311" s="25">
        <f t="shared" si="351"/>
        <v>0</v>
      </c>
      <c r="X311" s="24">
        <f t="shared" si="352"/>
        <v>0</v>
      </c>
      <c r="Y311" s="26">
        <f t="shared" si="353"/>
        <v>0</v>
      </c>
      <c r="Z311" s="27">
        <f t="shared" si="354"/>
        <v>0</v>
      </c>
      <c r="AA311" s="28">
        <f t="shared" si="355"/>
        <v>45415</v>
      </c>
      <c r="AB311" s="24">
        <f t="shared" si="356"/>
        <v>0</v>
      </c>
      <c r="AC311" s="25">
        <f t="shared" si="357"/>
        <v>0</v>
      </c>
      <c r="AD311" s="28">
        <f t="shared" si="358"/>
        <v>45415</v>
      </c>
      <c r="AE311" s="24">
        <f t="shared" si="359"/>
        <v>0</v>
      </c>
      <c r="AF311" s="25">
        <f t="shared" si="360"/>
        <v>0</v>
      </c>
      <c r="AG311" s="28">
        <f t="shared" si="361"/>
        <v>45415</v>
      </c>
      <c r="AH311" s="24">
        <f t="shared" si="362"/>
        <v>0</v>
      </c>
      <c r="AI311" s="25">
        <f t="shared" si="363"/>
        <v>0</v>
      </c>
      <c r="AJ311" s="28">
        <f t="shared" si="364"/>
        <v>45415</v>
      </c>
      <c r="AK311" s="24">
        <f t="shared" si="365"/>
        <v>0</v>
      </c>
      <c r="AL311" s="25">
        <f t="shared" si="366"/>
        <v>0</v>
      </c>
      <c r="AM311" s="29">
        <f t="shared" si="367"/>
        <v>0</v>
      </c>
      <c r="AN311" s="28">
        <f t="shared" si="368"/>
        <v>45415</v>
      </c>
      <c r="AO311" s="373">
        <f t="shared" si="337"/>
        <v>0</v>
      </c>
      <c r="AP311" s="374">
        <f t="shared" si="338"/>
        <v>0</v>
      </c>
      <c r="AQ311" s="27">
        <f t="shared" si="339"/>
        <v>0</v>
      </c>
      <c r="AR311" s="25">
        <f t="shared" si="340"/>
        <v>0</v>
      </c>
      <c r="AS311" s="25">
        <f t="shared" si="341"/>
        <v>0</v>
      </c>
      <c r="AT311" s="25">
        <f t="shared" si="342"/>
        <v>0</v>
      </c>
      <c r="AU311" s="29">
        <f t="shared" si="399"/>
        <v>0</v>
      </c>
      <c r="AV311" s="27">
        <f t="shared" si="369"/>
        <v>0</v>
      </c>
      <c r="AW311" s="27">
        <f t="shared" si="370"/>
        <v>0</v>
      </c>
      <c r="AX311" s="27">
        <f t="shared" si="371"/>
        <v>0</v>
      </c>
      <c r="AY311" s="27">
        <f t="shared" si="372"/>
        <v>0</v>
      </c>
      <c r="BH311" s="2">
        <f t="shared" si="373"/>
        <v>0</v>
      </c>
      <c r="BI311" s="298" t="str">
        <f t="shared" si="374"/>
        <v/>
      </c>
      <c r="BJ311" s="298" t="str">
        <f t="shared" si="343"/>
        <v/>
      </c>
      <c r="BQ311" s="4">
        <f t="shared" si="375"/>
        <v>45415</v>
      </c>
      <c r="BR311" s="112">
        <f t="shared" si="376"/>
        <v>0</v>
      </c>
      <c r="BS311" s="112">
        <f t="shared" si="377"/>
        <v>0</v>
      </c>
      <c r="BT311" s="112">
        <f t="shared" si="378"/>
        <v>0</v>
      </c>
      <c r="BU311" s="112">
        <f t="shared" si="379"/>
        <v>0</v>
      </c>
      <c r="BV311" s="112">
        <f t="shared" si="380"/>
        <v>0</v>
      </c>
      <c r="CI311" s="4">
        <f t="shared" si="381"/>
        <v>45415</v>
      </c>
      <c r="CJ311" s="50">
        <f ca="1">IF($BH311=0,IF($CO311="",CJ310+R311,IF('283'!$K$251=1,VLOOKUP($CO311,PerStBal,2)+R311,IF('283'!$K$253=1,(VLOOKUP($CO311,PerPortion,2)*VLOOKUP($CO311,PerStBal,6))+R311,GL!BS311))),0)</f>
        <v>0</v>
      </c>
      <c r="CK311" s="425">
        <f ca="1">IF($BH311=0,IF($CO311="",CK310+T311,IF('283'!$K$251=1,IF(mname2&lt;&gt;"",VLOOKUP($CO311,PerStBal,3)+T311,0),IF('283'!$K$253=1,(VLOOKUP($CO311,PerPortion,3)*VLOOKUP($CO311,PerStBal,6))+T311,GL!BT311))),0)</f>
        <v>0</v>
      </c>
      <c r="CL311" s="425">
        <f ca="1">IF($BH311=0,IF($CO311="",CL310+V311,IF('283'!$K$251=1,IF(mname3&lt;&gt;"",VLOOKUP($CO311,PerStBal,4)+V311,0),IF('283'!$K$253=1,(VLOOKUP($CO311,PerPortion,4)*VLOOKUP($CO311,PerStBal,6))+V311,GL!BU311))),0)</f>
        <v>0</v>
      </c>
      <c r="CM311" s="425">
        <f ca="1">IF($BH311=0,IF($CO311="",CM310+X311,IF('283'!$K$251=1,IF(mname4&lt;&gt;"",VLOOKUP($CO311,PerStBal,5)+X311,0),IF('283'!$K$253=1,(VLOOKUP($CO311,PerPortion,5)*VLOOKUP($CO311,PerStBal,6))+X311,GL!BV311))),0)</f>
        <v>0</v>
      </c>
      <c r="CN311" s="50">
        <f t="shared" ca="1" si="382"/>
        <v>0</v>
      </c>
      <c r="CO311" s="4" t="str">
        <f t="shared" ca="1" si="383"/>
        <v/>
      </c>
      <c r="CP311" s="377">
        <f t="shared" si="344"/>
        <v>0</v>
      </c>
      <c r="DI311" s="4">
        <f t="shared" si="384"/>
        <v>45415</v>
      </c>
      <c r="DJ311" s="112">
        <f t="shared" ca="1" si="385"/>
        <v>0</v>
      </c>
      <c r="DK311" s="112">
        <f t="shared" si="386"/>
        <v>0</v>
      </c>
      <c r="DL311" s="4">
        <f t="shared" si="387"/>
        <v>45415</v>
      </c>
      <c r="DM311" s="112">
        <f t="shared" ca="1" si="388"/>
        <v>0</v>
      </c>
      <c r="DN311" s="112">
        <f t="shared" si="389"/>
        <v>0</v>
      </c>
      <c r="DO311" s="4">
        <f t="shared" si="390"/>
        <v>45415</v>
      </c>
      <c r="DP311" s="112">
        <f t="shared" ca="1" si="391"/>
        <v>0</v>
      </c>
      <c r="DQ311" s="112">
        <f t="shared" si="392"/>
        <v>0</v>
      </c>
      <c r="DR311" s="4">
        <f t="shared" si="393"/>
        <v>45415</v>
      </c>
      <c r="DS311" s="112">
        <f t="shared" ca="1" si="394"/>
        <v>0</v>
      </c>
      <c r="DT311" s="112">
        <f t="shared" si="395"/>
        <v>0</v>
      </c>
      <c r="DU311" s="4">
        <f t="shared" si="396"/>
        <v>45415</v>
      </c>
      <c r="DV311" s="112">
        <f t="shared" si="397"/>
        <v>0</v>
      </c>
      <c r="DW311" s="112">
        <f t="shared" si="398"/>
        <v>0</v>
      </c>
    </row>
    <row r="312" spans="4:127" x14ac:dyDescent="0.25">
      <c r="Q312" s="4">
        <f t="shared" si="345"/>
        <v>45416</v>
      </c>
      <c r="R312" s="24">
        <f t="shared" si="346"/>
        <v>0</v>
      </c>
      <c r="S312" s="25">
        <f t="shared" si="347"/>
        <v>0</v>
      </c>
      <c r="T312" s="24">
        <f t="shared" si="348"/>
        <v>0</v>
      </c>
      <c r="U312" s="25">
        <f t="shared" si="349"/>
        <v>0</v>
      </c>
      <c r="V312" s="24">
        <f t="shared" si="350"/>
        <v>0</v>
      </c>
      <c r="W312" s="25">
        <f t="shared" si="351"/>
        <v>0</v>
      </c>
      <c r="X312" s="24">
        <f t="shared" si="352"/>
        <v>0</v>
      </c>
      <c r="Y312" s="26">
        <f t="shared" si="353"/>
        <v>0</v>
      </c>
      <c r="Z312" s="27">
        <f t="shared" si="354"/>
        <v>0</v>
      </c>
      <c r="AA312" s="28">
        <f t="shared" si="355"/>
        <v>45416</v>
      </c>
      <c r="AB312" s="24">
        <f t="shared" si="356"/>
        <v>0</v>
      </c>
      <c r="AC312" s="25">
        <f t="shared" si="357"/>
        <v>0</v>
      </c>
      <c r="AD312" s="28">
        <f t="shared" si="358"/>
        <v>45416</v>
      </c>
      <c r="AE312" s="24">
        <f t="shared" si="359"/>
        <v>0</v>
      </c>
      <c r="AF312" s="25">
        <f t="shared" si="360"/>
        <v>0</v>
      </c>
      <c r="AG312" s="28">
        <f t="shared" si="361"/>
        <v>45416</v>
      </c>
      <c r="AH312" s="24">
        <f t="shared" si="362"/>
        <v>0</v>
      </c>
      <c r="AI312" s="25">
        <f t="shared" si="363"/>
        <v>0</v>
      </c>
      <c r="AJ312" s="28">
        <f t="shared" si="364"/>
        <v>45416</v>
      </c>
      <c r="AK312" s="24">
        <f t="shared" si="365"/>
        <v>0</v>
      </c>
      <c r="AL312" s="25">
        <f t="shared" si="366"/>
        <v>0</v>
      </c>
      <c r="AM312" s="29">
        <f t="shared" si="367"/>
        <v>0</v>
      </c>
      <c r="AN312" s="28">
        <f t="shared" si="368"/>
        <v>45416</v>
      </c>
      <c r="AO312" s="373">
        <f t="shared" si="337"/>
        <v>0</v>
      </c>
      <c r="AP312" s="374">
        <f t="shared" si="338"/>
        <v>0</v>
      </c>
      <c r="AQ312" s="27">
        <f t="shared" si="339"/>
        <v>0</v>
      </c>
      <c r="AR312" s="25">
        <f t="shared" si="340"/>
        <v>0</v>
      </c>
      <c r="AS312" s="25">
        <f t="shared" si="341"/>
        <v>0</v>
      </c>
      <c r="AT312" s="25">
        <f t="shared" si="342"/>
        <v>0</v>
      </c>
      <c r="AU312" s="29">
        <f t="shared" si="399"/>
        <v>0</v>
      </c>
      <c r="AV312" s="27">
        <f t="shared" si="369"/>
        <v>0</v>
      </c>
      <c r="AW312" s="27">
        <f t="shared" si="370"/>
        <v>0</v>
      </c>
      <c r="AX312" s="27">
        <f t="shared" si="371"/>
        <v>0</v>
      </c>
      <c r="AY312" s="27">
        <f t="shared" si="372"/>
        <v>0</v>
      </c>
      <c r="BH312" s="2">
        <f t="shared" si="373"/>
        <v>0</v>
      </c>
      <c r="BI312" s="298" t="str">
        <f t="shared" si="374"/>
        <v/>
      </c>
      <c r="BJ312" s="298" t="str">
        <f t="shared" si="343"/>
        <v/>
      </c>
      <c r="BQ312" s="4">
        <f t="shared" si="375"/>
        <v>45416</v>
      </c>
      <c r="BR312" s="112">
        <f t="shared" si="376"/>
        <v>0</v>
      </c>
      <c r="BS312" s="112">
        <f t="shared" si="377"/>
        <v>0</v>
      </c>
      <c r="BT312" s="112">
        <f t="shared" si="378"/>
        <v>0</v>
      </c>
      <c r="BU312" s="112">
        <f t="shared" si="379"/>
        <v>0</v>
      </c>
      <c r="BV312" s="112">
        <f t="shared" si="380"/>
        <v>0</v>
      </c>
      <c r="CI312" s="4">
        <f t="shared" si="381"/>
        <v>45416</v>
      </c>
      <c r="CJ312" s="50">
        <f ca="1">IF($BH312=0,IF($CO312="",CJ311+R312,IF('283'!$K$251=1,VLOOKUP($CO312,PerStBal,2)+R312,IF('283'!$K$253=1,(VLOOKUP($CO312,PerPortion,2)*VLOOKUP($CO312,PerStBal,6))+R312,GL!BS312))),0)</f>
        <v>0</v>
      </c>
      <c r="CK312" s="425">
        <f ca="1">IF($BH312=0,IF($CO312="",CK311+T312,IF('283'!$K$251=1,IF(mname2&lt;&gt;"",VLOOKUP($CO312,PerStBal,3)+T312,0),IF('283'!$K$253=1,(VLOOKUP($CO312,PerPortion,3)*VLOOKUP($CO312,PerStBal,6))+T312,GL!BT312))),0)</f>
        <v>0</v>
      </c>
      <c r="CL312" s="425">
        <f ca="1">IF($BH312=0,IF($CO312="",CL311+V312,IF('283'!$K$251=1,IF(mname3&lt;&gt;"",VLOOKUP($CO312,PerStBal,4)+V312,0),IF('283'!$K$253=1,(VLOOKUP($CO312,PerPortion,4)*VLOOKUP($CO312,PerStBal,6))+V312,GL!BU312))),0)</f>
        <v>0</v>
      </c>
      <c r="CM312" s="425">
        <f ca="1">IF($BH312=0,IF($CO312="",CM311+X312,IF('283'!$K$251=1,IF(mname4&lt;&gt;"",VLOOKUP($CO312,PerStBal,5)+X312,0),IF('283'!$K$253=1,(VLOOKUP($CO312,PerPortion,5)*VLOOKUP($CO312,PerStBal,6))+X312,GL!BV312))),0)</f>
        <v>0</v>
      </c>
      <c r="CN312" s="50">
        <f t="shared" ca="1" si="382"/>
        <v>0</v>
      </c>
      <c r="CO312" s="4" t="str">
        <f t="shared" ca="1" si="383"/>
        <v/>
      </c>
      <c r="CP312" s="377">
        <f t="shared" si="344"/>
        <v>0</v>
      </c>
      <c r="DI312" s="4">
        <f t="shared" si="384"/>
        <v>45416</v>
      </c>
      <c r="DJ312" s="112">
        <f t="shared" ca="1" si="385"/>
        <v>0</v>
      </c>
      <c r="DK312" s="112">
        <f t="shared" si="386"/>
        <v>0</v>
      </c>
      <c r="DL312" s="4">
        <f t="shared" si="387"/>
        <v>45416</v>
      </c>
      <c r="DM312" s="112">
        <f t="shared" ca="1" si="388"/>
        <v>0</v>
      </c>
      <c r="DN312" s="112">
        <f t="shared" si="389"/>
        <v>0</v>
      </c>
      <c r="DO312" s="4">
        <f t="shared" si="390"/>
        <v>45416</v>
      </c>
      <c r="DP312" s="112">
        <f t="shared" ca="1" si="391"/>
        <v>0</v>
      </c>
      <c r="DQ312" s="112">
        <f t="shared" si="392"/>
        <v>0</v>
      </c>
      <c r="DR312" s="4">
        <f t="shared" si="393"/>
        <v>45416</v>
      </c>
      <c r="DS312" s="112">
        <f t="shared" ca="1" si="394"/>
        <v>0</v>
      </c>
      <c r="DT312" s="112">
        <f t="shared" si="395"/>
        <v>0</v>
      </c>
      <c r="DU312" s="4">
        <f t="shared" si="396"/>
        <v>45416</v>
      </c>
      <c r="DV312" s="112">
        <f t="shared" si="397"/>
        <v>0</v>
      </c>
      <c r="DW312" s="112">
        <f t="shared" si="398"/>
        <v>0</v>
      </c>
    </row>
    <row r="313" spans="4:127" x14ac:dyDescent="0.25">
      <c r="Q313" s="4">
        <f t="shared" si="345"/>
        <v>45417</v>
      </c>
      <c r="R313" s="24">
        <f t="shared" si="346"/>
        <v>0</v>
      </c>
      <c r="S313" s="25">
        <f t="shared" si="347"/>
        <v>0</v>
      </c>
      <c r="T313" s="24">
        <f t="shared" si="348"/>
        <v>0</v>
      </c>
      <c r="U313" s="25">
        <f t="shared" si="349"/>
        <v>0</v>
      </c>
      <c r="V313" s="24">
        <f t="shared" si="350"/>
        <v>0</v>
      </c>
      <c r="W313" s="25">
        <f t="shared" si="351"/>
        <v>0</v>
      </c>
      <c r="X313" s="24">
        <f t="shared" si="352"/>
        <v>0</v>
      </c>
      <c r="Y313" s="26">
        <f t="shared" si="353"/>
        <v>0</v>
      </c>
      <c r="Z313" s="27">
        <f t="shared" si="354"/>
        <v>0</v>
      </c>
      <c r="AA313" s="28">
        <f t="shared" si="355"/>
        <v>45417</v>
      </c>
      <c r="AB313" s="24">
        <f t="shared" si="356"/>
        <v>0</v>
      </c>
      <c r="AC313" s="25">
        <f t="shared" si="357"/>
        <v>0</v>
      </c>
      <c r="AD313" s="28">
        <f t="shared" si="358"/>
        <v>45417</v>
      </c>
      <c r="AE313" s="24">
        <f t="shared" si="359"/>
        <v>0</v>
      </c>
      <c r="AF313" s="25">
        <f t="shared" si="360"/>
        <v>0</v>
      </c>
      <c r="AG313" s="28">
        <f t="shared" si="361"/>
        <v>45417</v>
      </c>
      <c r="AH313" s="24">
        <f t="shared" si="362"/>
        <v>0</v>
      </c>
      <c r="AI313" s="25">
        <f t="shared" si="363"/>
        <v>0</v>
      </c>
      <c r="AJ313" s="28">
        <f t="shared" si="364"/>
        <v>45417</v>
      </c>
      <c r="AK313" s="24">
        <f t="shared" si="365"/>
        <v>0</v>
      </c>
      <c r="AL313" s="25">
        <f t="shared" si="366"/>
        <v>0</v>
      </c>
      <c r="AM313" s="29">
        <f t="shared" si="367"/>
        <v>0</v>
      </c>
      <c r="AN313" s="28">
        <f t="shared" si="368"/>
        <v>45417</v>
      </c>
      <c r="AO313" s="373">
        <f t="shared" si="337"/>
        <v>0</v>
      </c>
      <c r="AP313" s="374">
        <f t="shared" si="338"/>
        <v>0</v>
      </c>
      <c r="AQ313" s="27">
        <f t="shared" si="339"/>
        <v>0</v>
      </c>
      <c r="AR313" s="25">
        <f t="shared" si="340"/>
        <v>0</v>
      </c>
      <c r="AS313" s="25">
        <f t="shared" si="341"/>
        <v>0</v>
      </c>
      <c r="AT313" s="25">
        <f t="shared" si="342"/>
        <v>0</v>
      </c>
      <c r="AU313" s="29">
        <f t="shared" si="399"/>
        <v>0</v>
      </c>
      <c r="AV313" s="27">
        <f t="shared" si="369"/>
        <v>0</v>
      </c>
      <c r="AW313" s="27">
        <f t="shared" si="370"/>
        <v>0</v>
      </c>
      <c r="AX313" s="27">
        <f t="shared" si="371"/>
        <v>0</v>
      </c>
      <c r="AY313" s="27">
        <f t="shared" si="372"/>
        <v>0</v>
      </c>
      <c r="BH313" s="2">
        <f t="shared" si="373"/>
        <v>0</v>
      </c>
      <c r="BI313" s="298" t="str">
        <f t="shared" si="374"/>
        <v/>
      </c>
      <c r="BJ313" s="298" t="str">
        <f t="shared" si="343"/>
        <v/>
      </c>
      <c r="BQ313" s="4">
        <f t="shared" si="375"/>
        <v>45417</v>
      </c>
      <c r="BR313" s="112">
        <f t="shared" si="376"/>
        <v>0</v>
      </c>
      <c r="BS313" s="112">
        <f t="shared" si="377"/>
        <v>0</v>
      </c>
      <c r="BT313" s="112">
        <f t="shared" si="378"/>
        <v>0</v>
      </c>
      <c r="BU313" s="112">
        <f t="shared" si="379"/>
        <v>0</v>
      </c>
      <c r="BV313" s="112">
        <f t="shared" si="380"/>
        <v>0</v>
      </c>
      <c r="CI313" s="4">
        <f t="shared" si="381"/>
        <v>45417</v>
      </c>
      <c r="CJ313" s="50">
        <f ca="1">IF($BH313=0,IF($CO313="",CJ312+R313,IF('283'!$K$251=1,VLOOKUP($CO313,PerStBal,2)+R313,IF('283'!$K$253=1,(VLOOKUP($CO313,PerPortion,2)*VLOOKUP($CO313,PerStBal,6))+R313,GL!BS313))),0)</f>
        <v>0</v>
      </c>
      <c r="CK313" s="425">
        <f ca="1">IF($BH313=0,IF($CO313="",CK312+T313,IF('283'!$K$251=1,IF(mname2&lt;&gt;"",VLOOKUP($CO313,PerStBal,3)+T313,0),IF('283'!$K$253=1,(VLOOKUP($CO313,PerPortion,3)*VLOOKUP($CO313,PerStBal,6))+T313,GL!BT313))),0)</f>
        <v>0</v>
      </c>
      <c r="CL313" s="425">
        <f ca="1">IF($BH313=0,IF($CO313="",CL312+V313,IF('283'!$K$251=1,IF(mname3&lt;&gt;"",VLOOKUP($CO313,PerStBal,4)+V313,0),IF('283'!$K$253=1,(VLOOKUP($CO313,PerPortion,4)*VLOOKUP($CO313,PerStBal,6))+V313,GL!BU313))),0)</f>
        <v>0</v>
      </c>
      <c r="CM313" s="425">
        <f ca="1">IF($BH313=0,IF($CO313="",CM312+X313,IF('283'!$K$251=1,IF(mname4&lt;&gt;"",VLOOKUP($CO313,PerStBal,5)+X313,0),IF('283'!$K$253=1,(VLOOKUP($CO313,PerPortion,5)*VLOOKUP($CO313,PerStBal,6))+X313,GL!BV313))),0)</f>
        <v>0</v>
      </c>
      <c r="CN313" s="50">
        <f t="shared" ca="1" si="382"/>
        <v>0</v>
      </c>
      <c r="CO313" s="4" t="str">
        <f t="shared" ca="1" si="383"/>
        <v/>
      </c>
      <c r="CP313" s="377">
        <f t="shared" si="344"/>
        <v>0</v>
      </c>
      <c r="DI313" s="4">
        <f t="shared" si="384"/>
        <v>45417</v>
      </c>
      <c r="DJ313" s="112">
        <f t="shared" ca="1" si="385"/>
        <v>0</v>
      </c>
      <c r="DK313" s="112">
        <f t="shared" si="386"/>
        <v>0</v>
      </c>
      <c r="DL313" s="4">
        <f t="shared" si="387"/>
        <v>45417</v>
      </c>
      <c r="DM313" s="112">
        <f t="shared" ca="1" si="388"/>
        <v>0</v>
      </c>
      <c r="DN313" s="112">
        <f t="shared" si="389"/>
        <v>0</v>
      </c>
      <c r="DO313" s="4">
        <f t="shared" si="390"/>
        <v>45417</v>
      </c>
      <c r="DP313" s="112">
        <f t="shared" ca="1" si="391"/>
        <v>0</v>
      </c>
      <c r="DQ313" s="112">
        <f t="shared" si="392"/>
        <v>0</v>
      </c>
      <c r="DR313" s="4">
        <f t="shared" si="393"/>
        <v>45417</v>
      </c>
      <c r="DS313" s="112">
        <f t="shared" ca="1" si="394"/>
        <v>0</v>
      </c>
      <c r="DT313" s="112">
        <f t="shared" si="395"/>
        <v>0</v>
      </c>
      <c r="DU313" s="4">
        <f t="shared" si="396"/>
        <v>45417</v>
      </c>
      <c r="DV313" s="112">
        <f t="shared" si="397"/>
        <v>0</v>
      </c>
      <c r="DW313" s="112">
        <f t="shared" si="398"/>
        <v>0</v>
      </c>
    </row>
    <row r="314" spans="4:127" x14ac:dyDescent="0.25">
      <c r="D314" s="129">
        <f ca="1">SUM(D315:G324)</f>
        <v>0</v>
      </c>
      <c r="E314" s="130"/>
      <c r="F314" s="130"/>
      <c r="G314" s="130"/>
      <c r="K314" s="129">
        <f ca="1">SUM(K315:O324)</f>
        <v>0</v>
      </c>
      <c r="L314" s="130"/>
      <c r="M314" s="130"/>
      <c r="N314" s="130"/>
      <c r="Q314" s="4">
        <f t="shared" si="345"/>
        <v>45418</v>
      </c>
      <c r="R314" s="24">
        <f t="shared" si="346"/>
        <v>0</v>
      </c>
      <c r="S314" s="25">
        <f t="shared" si="347"/>
        <v>0</v>
      </c>
      <c r="T314" s="24">
        <f t="shared" si="348"/>
        <v>0</v>
      </c>
      <c r="U314" s="25">
        <f t="shared" si="349"/>
        <v>0</v>
      </c>
      <c r="V314" s="24">
        <f t="shared" si="350"/>
        <v>0</v>
      </c>
      <c r="W314" s="25">
        <f t="shared" si="351"/>
        <v>0</v>
      </c>
      <c r="X314" s="24">
        <f t="shared" si="352"/>
        <v>0</v>
      </c>
      <c r="Y314" s="26">
        <f t="shared" si="353"/>
        <v>0</v>
      </c>
      <c r="Z314" s="27">
        <f t="shared" si="354"/>
        <v>0</v>
      </c>
      <c r="AA314" s="28">
        <f t="shared" si="355"/>
        <v>45418</v>
      </c>
      <c r="AB314" s="24">
        <f t="shared" si="356"/>
        <v>0</v>
      </c>
      <c r="AC314" s="25">
        <f t="shared" si="357"/>
        <v>0</v>
      </c>
      <c r="AD314" s="28">
        <f t="shared" si="358"/>
        <v>45418</v>
      </c>
      <c r="AE314" s="24">
        <f t="shared" si="359"/>
        <v>0</v>
      </c>
      <c r="AF314" s="25">
        <f t="shared" si="360"/>
        <v>0</v>
      </c>
      <c r="AG314" s="28">
        <f t="shared" si="361"/>
        <v>45418</v>
      </c>
      <c r="AH314" s="24">
        <f t="shared" si="362"/>
        <v>0</v>
      </c>
      <c r="AI314" s="25">
        <f t="shared" si="363"/>
        <v>0</v>
      </c>
      <c r="AJ314" s="28">
        <f t="shared" si="364"/>
        <v>45418</v>
      </c>
      <c r="AK314" s="24">
        <f t="shared" si="365"/>
        <v>0</v>
      </c>
      <c r="AL314" s="25">
        <f t="shared" si="366"/>
        <v>0</v>
      </c>
      <c r="AM314" s="29">
        <f t="shared" si="367"/>
        <v>0</v>
      </c>
      <c r="AN314" s="28">
        <f t="shared" si="368"/>
        <v>45418</v>
      </c>
      <c r="AO314" s="373">
        <f t="shared" si="337"/>
        <v>0</v>
      </c>
      <c r="AP314" s="374">
        <f t="shared" si="338"/>
        <v>0</v>
      </c>
      <c r="AQ314" s="27">
        <f t="shared" si="339"/>
        <v>0</v>
      </c>
      <c r="AR314" s="25">
        <f t="shared" si="340"/>
        <v>0</v>
      </c>
      <c r="AS314" s="25">
        <f t="shared" si="341"/>
        <v>0</v>
      </c>
      <c r="AT314" s="25">
        <f t="shared" si="342"/>
        <v>0</v>
      </c>
      <c r="AU314" s="29">
        <f t="shared" si="399"/>
        <v>0</v>
      </c>
      <c r="AV314" s="27">
        <f t="shared" si="369"/>
        <v>0</v>
      </c>
      <c r="AW314" s="27">
        <f t="shared" si="370"/>
        <v>0</v>
      </c>
      <c r="AX314" s="27">
        <f t="shared" si="371"/>
        <v>0</v>
      </c>
      <c r="AY314" s="27">
        <f t="shared" si="372"/>
        <v>0</v>
      </c>
      <c r="BH314" s="2">
        <f t="shared" si="373"/>
        <v>0</v>
      </c>
      <c r="BI314" s="298" t="str">
        <f t="shared" si="374"/>
        <v/>
      </c>
      <c r="BJ314" s="298" t="str">
        <f t="shared" si="343"/>
        <v/>
      </c>
      <c r="BQ314" s="4">
        <f t="shared" si="375"/>
        <v>45418</v>
      </c>
      <c r="BR314" s="112">
        <f t="shared" si="376"/>
        <v>0</v>
      </c>
      <c r="BS314" s="112">
        <f t="shared" si="377"/>
        <v>0</v>
      </c>
      <c r="BT314" s="112">
        <f t="shared" si="378"/>
        <v>0</v>
      </c>
      <c r="BU314" s="112">
        <f t="shared" si="379"/>
        <v>0</v>
      </c>
      <c r="BV314" s="112">
        <f t="shared" si="380"/>
        <v>0</v>
      </c>
      <c r="CI314" s="4">
        <f t="shared" si="381"/>
        <v>45418</v>
      </c>
      <c r="CJ314" s="50">
        <f ca="1">IF($BH314=0,IF($CO314="",CJ313+R314,IF('283'!$K$251=1,VLOOKUP($CO314,PerStBal,2)+R314,IF('283'!$K$253=1,(VLOOKUP($CO314,PerPortion,2)*VLOOKUP($CO314,PerStBal,6))+R314,GL!BS314))),0)</f>
        <v>0</v>
      </c>
      <c r="CK314" s="425">
        <f ca="1">IF($BH314=0,IF($CO314="",CK313+T314,IF('283'!$K$251=1,IF(mname2&lt;&gt;"",VLOOKUP($CO314,PerStBal,3)+T314,0),IF('283'!$K$253=1,(VLOOKUP($CO314,PerPortion,3)*VLOOKUP($CO314,PerStBal,6))+T314,GL!BT314))),0)</f>
        <v>0</v>
      </c>
      <c r="CL314" s="425">
        <f ca="1">IF($BH314=0,IF($CO314="",CL313+V314,IF('283'!$K$251=1,IF(mname3&lt;&gt;"",VLOOKUP($CO314,PerStBal,4)+V314,0),IF('283'!$K$253=1,(VLOOKUP($CO314,PerPortion,4)*VLOOKUP($CO314,PerStBal,6))+V314,GL!BU314))),0)</f>
        <v>0</v>
      </c>
      <c r="CM314" s="425">
        <f ca="1">IF($BH314=0,IF($CO314="",CM313+X314,IF('283'!$K$251=1,IF(mname4&lt;&gt;"",VLOOKUP($CO314,PerStBal,5)+X314,0),IF('283'!$K$253=1,(VLOOKUP($CO314,PerPortion,5)*VLOOKUP($CO314,PerStBal,6))+X314,GL!BV314))),0)</f>
        <v>0</v>
      </c>
      <c r="CN314" s="50">
        <f t="shared" ca="1" si="382"/>
        <v>0</v>
      </c>
      <c r="CO314" s="4" t="str">
        <f t="shared" ca="1" si="383"/>
        <v/>
      </c>
      <c r="CP314" s="377">
        <f t="shared" si="344"/>
        <v>0</v>
      </c>
      <c r="DI314" s="4">
        <f t="shared" si="384"/>
        <v>45418</v>
      </c>
      <c r="DJ314" s="112">
        <f t="shared" ca="1" si="385"/>
        <v>0</v>
      </c>
      <c r="DK314" s="112">
        <f t="shared" si="386"/>
        <v>0</v>
      </c>
      <c r="DL314" s="4">
        <f t="shared" si="387"/>
        <v>45418</v>
      </c>
      <c r="DM314" s="112">
        <f t="shared" ca="1" si="388"/>
        <v>0</v>
      </c>
      <c r="DN314" s="112">
        <f t="shared" si="389"/>
        <v>0</v>
      </c>
      <c r="DO314" s="4">
        <f t="shared" si="390"/>
        <v>45418</v>
      </c>
      <c r="DP314" s="112">
        <f t="shared" ca="1" si="391"/>
        <v>0</v>
      </c>
      <c r="DQ314" s="112">
        <f t="shared" si="392"/>
        <v>0</v>
      </c>
      <c r="DR314" s="4">
        <f t="shared" si="393"/>
        <v>45418</v>
      </c>
      <c r="DS314" s="112">
        <f t="shared" ca="1" si="394"/>
        <v>0</v>
      </c>
      <c r="DT314" s="112">
        <f t="shared" si="395"/>
        <v>0</v>
      </c>
      <c r="DU314" s="4">
        <f t="shared" si="396"/>
        <v>45418</v>
      </c>
      <c r="DV314" s="112">
        <f t="shared" si="397"/>
        <v>0</v>
      </c>
      <c r="DW314" s="112">
        <f t="shared" si="398"/>
        <v>0</v>
      </c>
    </row>
    <row r="315" spans="4:127" x14ac:dyDescent="0.25">
      <c r="D315" s="131">
        <f t="shared" ref="D315:G324" ca="1" si="401">IF(ISERROR(D85),1,0)</f>
        <v>0</v>
      </c>
      <c r="E315" s="133">
        <f t="shared" ca="1" si="401"/>
        <v>0</v>
      </c>
      <c r="F315" s="133">
        <f t="shared" ca="1" si="401"/>
        <v>0</v>
      </c>
      <c r="G315" s="134">
        <f t="shared" ca="1" si="401"/>
        <v>0</v>
      </c>
      <c r="K315" s="131">
        <f t="shared" ref="K315:O324" ca="1" si="402">IF(ISERROR(K85),1,0)</f>
        <v>0</v>
      </c>
      <c r="L315" s="133">
        <f t="shared" ca="1" si="402"/>
        <v>0</v>
      </c>
      <c r="M315" s="133">
        <f t="shared" ca="1" si="402"/>
        <v>0</v>
      </c>
      <c r="N315" s="133">
        <f t="shared" ca="1" si="402"/>
        <v>0</v>
      </c>
      <c r="O315" s="134">
        <f t="shared" ca="1" si="402"/>
        <v>0</v>
      </c>
      <c r="Q315" s="4">
        <f t="shared" si="345"/>
        <v>45419</v>
      </c>
      <c r="R315" s="24">
        <f t="shared" si="346"/>
        <v>0</v>
      </c>
      <c r="S315" s="25">
        <f t="shared" si="347"/>
        <v>0</v>
      </c>
      <c r="T315" s="24">
        <f t="shared" si="348"/>
        <v>0</v>
      </c>
      <c r="U315" s="25">
        <f t="shared" si="349"/>
        <v>0</v>
      </c>
      <c r="V315" s="24">
        <f t="shared" si="350"/>
        <v>0</v>
      </c>
      <c r="W315" s="25">
        <f t="shared" si="351"/>
        <v>0</v>
      </c>
      <c r="X315" s="24">
        <f t="shared" si="352"/>
        <v>0</v>
      </c>
      <c r="Y315" s="26">
        <f t="shared" si="353"/>
        <v>0</v>
      </c>
      <c r="Z315" s="27">
        <f t="shared" si="354"/>
        <v>0</v>
      </c>
      <c r="AA315" s="28">
        <f t="shared" si="355"/>
        <v>45419</v>
      </c>
      <c r="AB315" s="24">
        <f t="shared" si="356"/>
        <v>0</v>
      </c>
      <c r="AC315" s="25">
        <f t="shared" si="357"/>
        <v>0</v>
      </c>
      <c r="AD315" s="28">
        <f t="shared" si="358"/>
        <v>45419</v>
      </c>
      <c r="AE315" s="24">
        <f t="shared" si="359"/>
        <v>0</v>
      </c>
      <c r="AF315" s="25">
        <f t="shared" si="360"/>
        <v>0</v>
      </c>
      <c r="AG315" s="28">
        <f t="shared" si="361"/>
        <v>45419</v>
      </c>
      <c r="AH315" s="24">
        <f t="shared" si="362"/>
        <v>0</v>
      </c>
      <c r="AI315" s="25">
        <f t="shared" si="363"/>
        <v>0</v>
      </c>
      <c r="AJ315" s="28">
        <f t="shared" si="364"/>
        <v>45419</v>
      </c>
      <c r="AK315" s="24">
        <f t="shared" si="365"/>
        <v>0</v>
      </c>
      <c r="AL315" s="25">
        <f t="shared" si="366"/>
        <v>0</v>
      </c>
      <c r="AM315" s="29">
        <f t="shared" si="367"/>
        <v>0</v>
      </c>
      <c r="AN315" s="28">
        <f t="shared" si="368"/>
        <v>45419</v>
      </c>
      <c r="AO315" s="373">
        <f t="shared" si="337"/>
        <v>0</v>
      </c>
      <c r="AP315" s="374">
        <f t="shared" si="338"/>
        <v>0</v>
      </c>
      <c r="AQ315" s="27">
        <f t="shared" si="339"/>
        <v>0</v>
      </c>
      <c r="AR315" s="25">
        <f t="shared" si="340"/>
        <v>0</v>
      </c>
      <c r="AS315" s="25">
        <f t="shared" si="341"/>
        <v>0</v>
      </c>
      <c r="AT315" s="25">
        <f t="shared" si="342"/>
        <v>0</v>
      </c>
      <c r="AU315" s="29">
        <f t="shared" si="399"/>
        <v>0</v>
      </c>
      <c r="AV315" s="27">
        <f t="shared" si="369"/>
        <v>0</v>
      </c>
      <c r="AW315" s="27">
        <f t="shared" si="370"/>
        <v>0</v>
      </c>
      <c r="AX315" s="27">
        <f t="shared" si="371"/>
        <v>0</v>
      </c>
      <c r="AY315" s="27">
        <f t="shared" si="372"/>
        <v>0</v>
      </c>
      <c r="BH315" s="2">
        <f t="shared" si="373"/>
        <v>0</v>
      </c>
      <c r="BI315" s="298" t="str">
        <f t="shared" si="374"/>
        <v/>
      </c>
      <c r="BJ315" s="298" t="str">
        <f t="shared" si="343"/>
        <v/>
      </c>
      <c r="BQ315" s="4">
        <f t="shared" si="375"/>
        <v>45419</v>
      </c>
      <c r="BR315" s="112">
        <f t="shared" si="376"/>
        <v>0</v>
      </c>
      <c r="BS315" s="112">
        <f t="shared" si="377"/>
        <v>0</v>
      </c>
      <c r="BT315" s="112">
        <f t="shared" si="378"/>
        <v>0</v>
      </c>
      <c r="BU315" s="112">
        <f t="shared" si="379"/>
        <v>0</v>
      </c>
      <c r="BV315" s="112">
        <f t="shared" si="380"/>
        <v>0</v>
      </c>
      <c r="CI315" s="4">
        <f t="shared" si="381"/>
        <v>45419</v>
      </c>
      <c r="CJ315" s="50">
        <f ca="1">IF($BH315=0,IF($CO315="",CJ314+R315,IF('283'!$K$251=1,VLOOKUP($CO315,PerStBal,2)+R315,IF('283'!$K$253=1,(VLOOKUP($CO315,PerPortion,2)*VLOOKUP($CO315,PerStBal,6))+R315,GL!BS315))),0)</f>
        <v>0</v>
      </c>
      <c r="CK315" s="425">
        <f ca="1">IF($BH315=0,IF($CO315="",CK314+T315,IF('283'!$K$251=1,IF(mname2&lt;&gt;"",VLOOKUP($CO315,PerStBal,3)+T315,0),IF('283'!$K$253=1,(VLOOKUP($CO315,PerPortion,3)*VLOOKUP($CO315,PerStBal,6))+T315,GL!BT315))),0)</f>
        <v>0</v>
      </c>
      <c r="CL315" s="425">
        <f ca="1">IF($BH315=0,IF($CO315="",CL314+V315,IF('283'!$K$251=1,IF(mname3&lt;&gt;"",VLOOKUP($CO315,PerStBal,4)+V315,0),IF('283'!$K$253=1,(VLOOKUP($CO315,PerPortion,4)*VLOOKUP($CO315,PerStBal,6))+V315,GL!BU315))),0)</f>
        <v>0</v>
      </c>
      <c r="CM315" s="425">
        <f ca="1">IF($BH315=0,IF($CO315="",CM314+X315,IF('283'!$K$251=1,IF(mname4&lt;&gt;"",VLOOKUP($CO315,PerStBal,5)+X315,0),IF('283'!$K$253=1,(VLOOKUP($CO315,PerPortion,5)*VLOOKUP($CO315,PerStBal,6))+X315,GL!BV315))),0)</f>
        <v>0</v>
      </c>
      <c r="CN315" s="50">
        <f t="shared" ca="1" si="382"/>
        <v>0</v>
      </c>
      <c r="CO315" s="4" t="str">
        <f t="shared" ca="1" si="383"/>
        <v/>
      </c>
      <c r="CP315" s="377">
        <f t="shared" si="344"/>
        <v>0</v>
      </c>
      <c r="DI315" s="4">
        <f t="shared" si="384"/>
        <v>45419</v>
      </c>
      <c r="DJ315" s="112">
        <f t="shared" ca="1" si="385"/>
        <v>0</v>
      </c>
      <c r="DK315" s="112">
        <f t="shared" si="386"/>
        <v>0</v>
      </c>
      <c r="DL315" s="4">
        <f t="shared" si="387"/>
        <v>45419</v>
      </c>
      <c r="DM315" s="112">
        <f t="shared" ca="1" si="388"/>
        <v>0</v>
      </c>
      <c r="DN315" s="112">
        <f t="shared" si="389"/>
        <v>0</v>
      </c>
      <c r="DO315" s="4">
        <f t="shared" si="390"/>
        <v>45419</v>
      </c>
      <c r="DP315" s="112">
        <f t="shared" ca="1" si="391"/>
        <v>0</v>
      </c>
      <c r="DQ315" s="112">
        <f t="shared" si="392"/>
        <v>0</v>
      </c>
      <c r="DR315" s="4">
        <f t="shared" si="393"/>
        <v>45419</v>
      </c>
      <c r="DS315" s="112">
        <f t="shared" ca="1" si="394"/>
        <v>0</v>
      </c>
      <c r="DT315" s="112">
        <f t="shared" si="395"/>
        <v>0</v>
      </c>
      <c r="DU315" s="4">
        <f t="shared" si="396"/>
        <v>45419</v>
      </c>
      <c r="DV315" s="112">
        <f t="shared" si="397"/>
        <v>0</v>
      </c>
      <c r="DW315" s="112">
        <f t="shared" si="398"/>
        <v>0</v>
      </c>
    </row>
    <row r="316" spans="4:127" x14ac:dyDescent="0.25">
      <c r="D316" s="135">
        <f t="shared" ca="1" si="401"/>
        <v>0</v>
      </c>
      <c r="E316" s="132">
        <f t="shared" ca="1" si="401"/>
        <v>0</v>
      </c>
      <c r="F316" s="132">
        <f t="shared" ca="1" si="401"/>
        <v>0</v>
      </c>
      <c r="G316" s="136">
        <f t="shared" ca="1" si="401"/>
        <v>0</v>
      </c>
      <c r="K316" s="135">
        <f t="shared" ca="1" si="402"/>
        <v>0</v>
      </c>
      <c r="L316" s="132">
        <f t="shared" ca="1" si="402"/>
        <v>0</v>
      </c>
      <c r="M316" s="132">
        <f t="shared" ca="1" si="402"/>
        <v>0</v>
      </c>
      <c r="N316" s="132">
        <f t="shared" ca="1" si="402"/>
        <v>0</v>
      </c>
      <c r="O316" s="136">
        <f t="shared" ca="1" si="402"/>
        <v>0</v>
      </c>
      <c r="Q316" s="4">
        <f t="shared" si="345"/>
        <v>45420</v>
      </c>
      <c r="R316" s="24">
        <f t="shared" si="346"/>
        <v>0</v>
      </c>
      <c r="S316" s="25">
        <f t="shared" si="347"/>
        <v>0</v>
      </c>
      <c r="T316" s="24">
        <f t="shared" si="348"/>
        <v>0</v>
      </c>
      <c r="U316" s="25">
        <f t="shared" si="349"/>
        <v>0</v>
      </c>
      <c r="V316" s="24">
        <f t="shared" si="350"/>
        <v>0</v>
      </c>
      <c r="W316" s="25">
        <f t="shared" si="351"/>
        <v>0</v>
      </c>
      <c r="X316" s="24">
        <f t="shared" si="352"/>
        <v>0</v>
      </c>
      <c r="Y316" s="26">
        <f t="shared" si="353"/>
        <v>0</v>
      </c>
      <c r="Z316" s="27">
        <f t="shared" si="354"/>
        <v>0</v>
      </c>
      <c r="AA316" s="28">
        <f t="shared" si="355"/>
        <v>45420</v>
      </c>
      <c r="AB316" s="24">
        <f t="shared" si="356"/>
        <v>0</v>
      </c>
      <c r="AC316" s="25">
        <f t="shared" si="357"/>
        <v>0</v>
      </c>
      <c r="AD316" s="28">
        <f t="shared" si="358"/>
        <v>45420</v>
      </c>
      <c r="AE316" s="24">
        <f t="shared" si="359"/>
        <v>0</v>
      </c>
      <c r="AF316" s="25">
        <f t="shared" si="360"/>
        <v>0</v>
      </c>
      <c r="AG316" s="28">
        <f t="shared" si="361"/>
        <v>45420</v>
      </c>
      <c r="AH316" s="24">
        <f t="shared" si="362"/>
        <v>0</v>
      </c>
      <c r="AI316" s="25">
        <f t="shared" si="363"/>
        <v>0</v>
      </c>
      <c r="AJ316" s="28">
        <f t="shared" si="364"/>
        <v>45420</v>
      </c>
      <c r="AK316" s="24">
        <f t="shared" si="365"/>
        <v>0</v>
      </c>
      <c r="AL316" s="25">
        <f t="shared" si="366"/>
        <v>0</v>
      </c>
      <c r="AM316" s="29">
        <f t="shared" si="367"/>
        <v>0</v>
      </c>
      <c r="AN316" s="28">
        <f t="shared" si="368"/>
        <v>45420</v>
      </c>
      <c r="AO316" s="373">
        <f t="shared" si="337"/>
        <v>0</v>
      </c>
      <c r="AP316" s="374">
        <f t="shared" si="338"/>
        <v>0</v>
      </c>
      <c r="AQ316" s="27">
        <f t="shared" si="339"/>
        <v>0</v>
      </c>
      <c r="AR316" s="25">
        <f t="shared" si="340"/>
        <v>0</v>
      </c>
      <c r="AS316" s="25">
        <f t="shared" si="341"/>
        <v>0</v>
      </c>
      <c r="AT316" s="25">
        <f t="shared" si="342"/>
        <v>0</v>
      </c>
      <c r="AU316" s="29">
        <f t="shared" si="399"/>
        <v>0</v>
      </c>
      <c r="AV316" s="27">
        <f t="shared" si="369"/>
        <v>0</v>
      </c>
      <c r="AW316" s="27">
        <f t="shared" si="370"/>
        <v>0</v>
      </c>
      <c r="AX316" s="27">
        <f t="shared" si="371"/>
        <v>0</v>
      </c>
      <c r="AY316" s="27">
        <f t="shared" si="372"/>
        <v>0</v>
      </c>
      <c r="BH316" s="2">
        <f t="shared" si="373"/>
        <v>0</v>
      </c>
      <c r="BI316" s="298" t="str">
        <f t="shared" si="374"/>
        <v/>
      </c>
      <c r="BJ316" s="298" t="str">
        <f t="shared" si="343"/>
        <v/>
      </c>
      <c r="BQ316" s="4">
        <f t="shared" si="375"/>
        <v>45420</v>
      </c>
      <c r="BR316" s="112">
        <f t="shared" si="376"/>
        <v>0</v>
      </c>
      <c r="BS316" s="112">
        <f t="shared" si="377"/>
        <v>0</v>
      </c>
      <c r="BT316" s="112">
        <f t="shared" si="378"/>
        <v>0</v>
      </c>
      <c r="BU316" s="112">
        <f t="shared" si="379"/>
        <v>0</v>
      </c>
      <c r="BV316" s="112">
        <f t="shared" si="380"/>
        <v>0</v>
      </c>
      <c r="CI316" s="4">
        <f t="shared" si="381"/>
        <v>45420</v>
      </c>
      <c r="CJ316" s="50">
        <f ca="1">IF($BH316=0,IF($CO316="",CJ315+R316,IF('283'!$K$251=1,VLOOKUP($CO316,PerStBal,2)+R316,IF('283'!$K$253=1,(VLOOKUP($CO316,PerPortion,2)*VLOOKUP($CO316,PerStBal,6))+R316,GL!BS316))),0)</f>
        <v>0</v>
      </c>
      <c r="CK316" s="425">
        <f ca="1">IF($BH316=0,IF($CO316="",CK315+T316,IF('283'!$K$251=1,IF(mname2&lt;&gt;"",VLOOKUP($CO316,PerStBal,3)+T316,0),IF('283'!$K$253=1,(VLOOKUP($CO316,PerPortion,3)*VLOOKUP($CO316,PerStBal,6))+T316,GL!BT316))),0)</f>
        <v>0</v>
      </c>
      <c r="CL316" s="425">
        <f ca="1">IF($BH316=0,IF($CO316="",CL315+V316,IF('283'!$K$251=1,IF(mname3&lt;&gt;"",VLOOKUP($CO316,PerStBal,4)+V316,0),IF('283'!$K$253=1,(VLOOKUP($CO316,PerPortion,4)*VLOOKUP($CO316,PerStBal,6))+V316,GL!BU316))),0)</f>
        <v>0</v>
      </c>
      <c r="CM316" s="425">
        <f ca="1">IF($BH316=0,IF($CO316="",CM315+X316,IF('283'!$K$251=1,IF(mname4&lt;&gt;"",VLOOKUP($CO316,PerStBal,5)+X316,0),IF('283'!$K$253=1,(VLOOKUP($CO316,PerPortion,5)*VLOOKUP($CO316,PerStBal,6))+X316,GL!BV316))),0)</f>
        <v>0</v>
      </c>
      <c r="CN316" s="50">
        <f t="shared" ca="1" si="382"/>
        <v>0</v>
      </c>
      <c r="CO316" s="4" t="str">
        <f t="shared" ca="1" si="383"/>
        <v/>
      </c>
      <c r="CP316" s="377">
        <f t="shared" si="344"/>
        <v>0</v>
      </c>
      <c r="DI316" s="4">
        <f t="shared" si="384"/>
        <v>45420</v>
      </c>
      <c r="DJ316" s="112">
        <f t="shared" ca="1" si="385"/>
        <v>0</v>
      </c>
      <c r="DK316" s="112">
        <f t="shared" si="386"/>
        <v>0</v>
      </c>
      <c r="DL316" s="4">
        <f t="shared" si="387"/>
        <v>45420</v>
      </c>
      <c r="DM316" s="112">
        <f t="shared" ca="1" si="388"/>
        <v>0</v>
      </c>
      <c r="DN316" s="112">
        <f t="shared" si="389"/>
        <v>0</v>
      </c>
      <c r="DO316" s="4">
        <f t="shared" si="390"/>
        <v>45420</v>
      </c>
      <c r="DP316" s="112">
        <f t="shared" ca="1" si="391"/>
        <v>0</v>
      </c>
      <c r="DQ316" s="112">
        <f t="shared" si="392"/>
        <v>0</v>
      </c>
      <c r="DR316" s="4">
        <f t="shared" si="393"/>
        <v>45420</v>
      </c>
      <c r="DS316" s="112">
        <f t="shared" ca="1" si="394"/>
        <v>0</v>
      </c>
      <c r="DT316" s="112">
        <f t="shared" si="395"/>
        <v>0</v>
      </c>
      <c r="DU316" s="4">
        <f t="shared" si="396"/>
        <v>45420</v>
      </c>
      <c r="DV316" s="112">
        <f t="shared" si="397"/>
        <v>0</v>
      </c>
      <c r="DW316" s="112">
        <f t="shared" si="398"/>
        <v>0</v>
      </c>
    </row>
    <row r="317" spans="4:127" x14ac:dyDescent="0.25">
      <c r="D317" s="135">
        <f t="shared" ca="1" si="401"/>
        <v>0</v>
      </c>
      <c r="E317" s="132">
        <f t="shared" ca="1" si="401"/>
        <v>0</v>
      </c>
      <c r="F317" s="132">
        <f t="shared" ca="1" si="401"/>
        <v>0</v>
      </c>
      <c r="G317" s="136">
        <f t="shared" ca="1" si="401"/>
        <v>0</v>
      </c>
      <c r="K317" s="135">
        <f t="shared" ca="1" si="402"/>
        <v>0</v>
      </c>
      <c r="L317" s="132">
        <f t="shared" ca="1" si="402"/>
        <v>0</v>
      </c>
      <c r="M317" s="132">
        <f t="shared" ca="1" si="402"/>
        <v>0</v>
      </c>
      <c r="N317" s="132">
        <f t="shared" ca="1" si="402"/>
        <v>0</v>
      </c>
      <c r="O317" s="136">
        <f t="shared" ca="1" si="402"/>
        <v>0</v>
      </c>
      <c r="Q317" s="4">
        <f t="shared" si="345"/>
        <v>45421</v>
      </c>
      <c r="R317" s="24">
        <f t="shared" si="346"/>
        <v>0</v>
      </c>
      <c r="S317" s="25">
        <f t="shared" si="347"/>
        <v>0</v>
      </c>
      <c r="T317" s="24">
        <f t="shared" si="348"/>
        <v>0</v>
      </c>
      <c r="U317" s="25">
        <f t="shared" si="349"/>
        <v>0</v>
      </c>
      <c r="V317" s="24">
        <f t="shared" si="350"/>
        <v>0</v>
      </c>
      <c r="W317" s="25">
        <f t="shared" si="351"/>
        <v>0</v>
      </c>
      <c r="X317" s="24">
        <f t="shared" si="352"/>
        <v>0</v>
      </c>
      <c r="Y317" s="26">
        <f t="shared" si="353"/>
        <v>0</v>
      </c>
      <c r="Z317" s="27">
        <f t="shared" si="354"/>
        <v>0</v>
      </c>
      <c r="AA317" s="28">
        <f t="shared" si="355"/>
        <v>45421</v>
      </c>
      <c r="AB317" s="24">
        <f t="shared" si="356"/>
        <v>0</v>
      </c>
      <c r="AC317" s="25">
        <f t="shared" si="357"/>
        <v>0</v>
      </c>
      <c r="AD317" s="28">
        <f t="shared" si="358"/>
        <v>45421</v>
      </c>
      <c r="AE317" s="24">
        <f t="shared" si="359"/>
        <v>0</v>
      </c>
      <c r="AF317" s="25">
        <f t="shared" si="360"/>
        <v>0</v>
      </c>
      <c r="AG317" s="28">
        <f t="shared" si="361"/>
        <v>45421</v>
      </c>
      <c r="AH317" s="24">
        <f t="shared" si="362"/>
        <v>0</v>
      </c>
      <c r="AI317" s="25">
        <f t="shared" si="363"/>
        <v>0</v>
      </c>
      <c r="AJ317" s="28">
        <f t="shared" si="364"/>
        <v>45421</v>
      </c>
      <c r="AK317" s="24">
        <f t="shared" si="365"/>
        <v>0</v>
      </c>
      <c r="AL317" s="25">
        <f t="shared" si="366"/>
        <v>0</v>
      </c>
      <c r="AM317" s="29">
        <f t="shared" si="367"/>
        <v>0</v>
      </c>
      <c r="AN317" s="28">
        <f t="shared" si="368"/>
        <v>45421</v>
      </c>
      <c r="AO317" s="373">
        <f t="shared" si="337"/>
        <v>0</v>
      </c>
      <c r="AP317" s="374">
        <f t="shared" si="338"/>
        <v>0</v>
      </c>
      <c r="AQ317" s="27">
        <f t="shared" si="339"/>
        <v>0</v>
      </c>
      <c r="AR317" s="25">
        <f t="shared" si="340"/>
        <v>0</v>
      </c>
      <c r="AS317" s="25">
        <f t="shared" si="341"/>
        <v>0</v>
      </c>
      <c r="AT317" s="25">
        <f t="shared" si="342"/>
        <v>0</v>
      </c>
      <c r="AU317" s="29">
        <f t="shared" si="399"/>
        <v>0</v>
      </c>
      <c r="AV317" s="27">
        <f t="shared" si="369"/>
        <v>0</v>
      </c>
      <c r="AW317" s="27">
        <f t="shared" si="370"/>
        <v>0</v>
      </c>
      <c r="AX317" s="27">
        <f t="shared" si="371"/>
        <v>0</v>
      </c>
      <c r="AY317" s="27">
        <f t="shared" si="372"/>
        <v>0</v>
      </c>
      <c r="BH317" s="2">
        <f t="shared" si="373"/>
        <v>0</v>
      </c>
      <c r="BI317" s="298" t="str">
        <f t="shared" si="374"/>
        <v/>
      </c>
      <c r="BJ317" s="298" t="str">
        <f t="shared" si="343"/>
        <v/>
      </c>
      <c r="BQ317" s="4">
        <f t="shared" si="375"/>
        <v>45421</v>
      </c>
      <c r="BR317" s="112">
        <f t="shared" si="376"/>
        <v>0</v>
      </c>
      <c r="BS317" s="112">
        <f t="shared" si="377"/>
        <v>0</v>
      </c>
      <c r="BT317" s="112">
        <f t="shared" si="378"/>
        <v>0</v>
      </c>
      <c r="BU317" s="112">
        <f t="shared" si="379"/>
        <v>0</v>
      </c>
      <c r="BV317" s="112">
        <f t="shared" si="380"/>
        <v>0</v>
      </c>
      <c r="CI317" s="4">
        <f t="shared" si="381"/>
        <v>45421</v>
      </c>
      <c r="CJ317" s="50">
        <f ca="1">IF($BH317=0,IF($CO317="",CJ316+R317,IF('283'!$K$251=1,VLOOKUP($CO317,PerStBal,2)+R317,IF('283'!$K$253=1,(VLOOKUP($CO317,PerPortion,2)*VLOOKUP($CO317,PerStBal,6))+R317,GL!BS317))),0)</f>
        <v>0</v>
      </c>
      <c r="CK317" s="425">
        <f ca="1">IF($BH317=0,IF($CO317="",CK316+T317,IF('283'!$K$251=1,IF(mname2&lt;&gt;"",VLOOKUP($CO317,PerStBal,3)+T317,0),IF('283'!$K$253=1,(VLOOKUP($CO317,PerPortion,3)*VLOOKUP($CO317,PerStBal,6))+T317,GL!BT317))),0)</f>
        <v>0</v>
      </c>
      <c r="CL317" s="425">
        <f ca="1">IF($BH317=0,IF($CO317="",CL316+V317,IF('283'!$K$251=1,IF(mname3&lt;&gt;"",VLOOKUP($CO317,PerStBal,4)+V317,0),IF('283'!$K$253=1,(VLOOKUP($CO317,PerPortion,4)*VLOOKUP($CO317,PerStBal,6))+V317,GL!BU317))),0)</f>
        <v>0</v>
      </c>
      <c r="CM317" s="425">
        <f ca="1">IF($BH317=0,IF($CO317="",CM316+X317,IF('283'!$K$251=1,IF(mname4&lt;&gt;"",VLOOKUP($CO317,PerStBal,5)+X317,0),IF('283'!$K$253=1,(VLOOKUP($CO317,PerPortion,5)*VLOOKUP($CO317,PerStBal,6))+X317,GL!BV317))),0)</f>
        <v>0</v>
      </c>
      <c r="CN317" s="50">
        <f t="shared" ca="1" si="382"/>
        <v>0</v>
      </c>
      <c r="CO317" s="4" t="str">
        <f t="shared" ca="1" si="383"/>
        <v/>
      </c>
      <c r="CP317" s="377">
        <f t="shared" si="344"/>
        <v>0</v>
      </c>
      <c r="DI317" s="4">
        <f t="shared" si="384"/>
        <v>45421</v>
      </c>
      <c r="DJ317" s="112">
        <f t="shared" ca="1" si="385"/>
        <v>0</v>
      </c>
      <c r="DK317" s="112">
        <f t="shared" si="386"/>
        <v>0</v>
      </c>
      <c r="DL317" s="4">
        <f t="shared" si="387"/>
        <v>45421</v>
      </c>
      <c r="DM317" s="112">
        <f t="shared" ca="1" si="388"/>
        <v>0</v>
      </c>
      <c r="DN317" s="112">
        <f t="shared" si="389"/>
        <v>0</v>
      </c>
      <c r="DO317" s="4">
        <f t="shared" si="390"/>
        <v>45421</v>
      </c>
      <c r="DP317" s="112">
        <f t="shared" ca="1" si="391"/>
        <v>0</v>
      </c>
      <c r="DQ317" s="112">
        <f t="shared" si="392"/>
        <v>0</v>
      </c>
      <c r="DR317" s="4">
        <f t="shared" si="393"/>
        <v>45421</v>
      </c>
      <c r="DS317" s="112">
        <f t="shared" ca="1" si="394"/>
        <v>0</v>
      </c>
      <c r="DT317" s="112">
        <f t="shared" si="395"/>
        <v>0</v>
      </c>
      <c r="DU317" s="4">
        <f t="shared" si="396"/>
        <v>45421</v>
      </c>
      <c r="DV317" s="112">
        <f t="shared" si="397"/>
        <v>0</v>
      </c>
      <c r="DW317" s="112">
        <f t="shared" si="398"/>
        <v>0</v>
      </c>
    </row>
    <row r="318" spans="4:127" x14ac:dyDescent="0.25">
      <c r="D318" s="135">
        <f t="shared" ca="1" si="401"/>
        <v>0</v>
      </c>
      <c r="E318" s="132">
        <f t="shared" ca="1" si="401"/>
        <v>0</v>
      </c>
      <c r="F318" s="132">
        <f t="shared" ca="1" si="401"/>
        <v>0</v>
      </c>
      <c r="G318" s="136">
        <f t="shared" ca="1" si="401"/>
        <v>0</v>
      </c>
      <c r="K318" s="135">
        <f t="shared" ca="1" si="402"/>
        <v>0</v>
      </c>
      <c r="L318" s="132">
        <f t="shared" ca="1" si="402"/>
        <v>0</v>
      </c>
      <c r="M318" s="132">
        <f t="shared" ca="1" si="402"/>
        <v>0</v>
      </c>
      <c r="N318" s="132">
        <f t="shared" ca="1" si="402"/>
        <v>0</v>
      </c>
      <c r="O318" s="136">
        <f t="shared" ca="1" si="402"/>
        <v>0</v>
      </c>
      <c r="Q318" s="4">
        <f t="shared" si="345"/>
        <v>45422</v>
      </c>
      <c r="R318" s="24">
        <f t="shared" si="346"/>
        <v>0</v>
      </c>
      <c r="S318" s="25">
        <f t="shared" si="347"/>
        <v>0</v>
      </c>
      <c r="T318" s="24">
        <f t="shared" si="348"/>
        <v>0</v>
      </c>
      <c r="U318" s="25">
        <f t="shared" si="349"/>
        <v>0</v>
      </c>
      <c r="V318" s="24">
        <f t="shared" si="350"/>
        <v>0</v>
      </c>
      <c r="W318" s="25">
        <f t="shared" si="351"/>
        <v>0</v>
      </c>
      <c r="X318" s="24">
        <f t="shared" si="352"/>
        <v>0</v>
      </c>
      <c r="Y318" s="26">
        <f t="shared" si="353"/>
        <v>0</v>
      </c>
      <c r="Z318" s="27">
        <f t="shared" si="354"/>
        <v>0</v>
      </c>
      <c r="AA318" s="28">
        <f t="shared" si="355"/>
        <v>45422</v>
      </c>
      <c r="AB318" s="24">
        <f t="shared" si="356"/>
        <v>0</v>
      </c>
      <c r="AC318" s="25">
        <f t="shared" si="357"/>
        <v>0</v>
      </c>
      <c r="AD318" s="28">
        <f t="shared" si="358"/>
        <v>45422</v>
      </c>
      <c r="AE318" s="24">
        <f t="shared" si="359"/>
        <v>0</v>
      </c>
      <c r="AF318" s="25">
        <f t="shared" si="360"/>
        <v>0</v>
      </c>
      <c r="AG318" s="28">
        <f t="shared" si="361"/>
        <v>45422</v>
      </c>
      <c r="AH318" s="24">
        <f t="shared" si="362"/>
        <v>0</v>
      </c>
      <c r="AI318" s="25">
        <f t="shared" si="363"/>
        <v>0</v>
      </c>
      <c r="AJ318" s="28">
        <f t="shared" si="364"/>
        <v>45422</v>
      </c>
      <c r="AK318" s="24">
        <f t="shared" si="365"/>
        <v>0</v>
      </c>
      <c r="AL318" s="25">
        <f t="shared" si="366"/>
        <v>0</v>
      </c>
      <c r="AM318" s="29">
        <f t="shared" si="367"/>
        <v>0</v>
      </c>
      <c r="AN318" s="28">
        <f t="shared" si="368"/>
        <v>45422</v>
      </c>
      <c r="AO318" s="373">
        <f t="shared" si="337"/>
        <v>0</v>
      </c>
      <c r="AP318" s="374">
        <f t="shared" si="338"/>
        <v>0</v>
      </c>
      <c r="AQ318" s="27">
        <f t="shared" si="339"/>
        <v>0</v>
      </c>
      <c r="AR318" s="25">
        <f t="shared" si="340"/>
        <v>0</v>
      </c>
      <c r="AS318" s="25">
        <f t="shared" si="341"/>
        <v>0</v>
      </c>
      <c r="AT318" s="25">
        <f t="shared" si="342"/>
        <v>0</v>
      </c>
      <c r="AU318" s="29">
        <f t="shared" si="399"/>
        <v>0</v>
      </c>
      <c r="AV318" s="27">
        <f t="shared" si="369"/>
        <v>0</v>
      </c>
      <c r="AW318" s="27">
        <f t="shared" si="370"/>
        <v>0</v>
      </c>
      <c r="AX318" s="27">
        <f t="shared" si="371"/>
        <v>0</v>
      </c>
      <c r="AY318" s="27">
        <f t="shared" si="372"/>
        <v>0</v>
      </c>
      <c r="BH318" s="2">
        <f t="shared" si="373"/>
        <v>0</v>
      </c>
      <c r="BI318" s="298" t="str">
        <f t="shared" si="374"/>
        <v/>
      </c>
      <c r="BJ318" s="298" t="str">
        <f t="shared" si="343"/>
        <v/>
      </c>
      <c r="BQ318" s="4">
        <f t="shared" si="375"/>
        <v>45422</v>
      </c>
      <c r="BR318" s="112">
        <f t="shared" si="376"/>
        <v>0</v>
      </c>
      <c r="BS318" s="112">
        <f t="shared" si="377"/>
        <v>0</v>
      </c>
      <c r="BT318" s="112">
        <f t="shared" si="378"/>
        <v>0</v>
      </c>
      <c r="BU318" s="112">
        <f t="shared" si="379"/>
        <v>0</v>
      </c>
      <c r="BV318" s="112">
        <f t="shared" si="380"/>
        <v>0</v>
      </c>
      <c r="CI318" s="4">
        <f t="shared" si="381"/>
        <v>45422</v>
      </c>
      <c r="CJ318" s="50">
        <f ca="1">IF($BH318=0,IF($CO318="",CJ317+R318,IF('283'!$K$251=1,VLOOKUP($CO318,PerStBal,2)+R318,IF('283'!$K$253=1,(VLOOKUP($CO318,PerPortion,2)*VLOOKUP($CO318,PerStBal,6))+R318,GL!BS318))),0)</f>
        <v>0</v>
      </c>
      <c r="CK318" s="425">
        <f ca="1">IF($BH318=0,IF($CO318="",CK317+T318,IF('283'!$K$251=1,IF(mname2&lt;&gt;"",VLOOKUP($CO318,PerStBal,3)+T318,0),IF('283'!$K$253=1,(VLOOKUP($CO318,PerPortion,3)*VLOOKUP($CO318,PerStBal,6))+T318,GL!BT318))),0)</f>
        <v>0</v>
      </c>
      <c r="CL318" s="425">
        <f ca="1">IF($BH318=0,IF($CO318="",CL317+V318,IF('283'!$K$251=1,IF(mname3&lt;&gt;"",VLOOKUP($CO318,PerStBal,4)+V318,0),IF('283'!$K$253=1,(VLOOKUP($CO318,PerPortion,4)*VLOOKUP($CO318,PerStBal,6))+V318,GL!BU318))),0)</f>
        <v>0</v>
      </c>
      <c r="CM318" s="425">
        <f ca="1">IF($BH318=0,IF($CO318="",CM317+X318,IF('283'!$K$251=1,IF(mname4&lt;&gt;"",VLOOKUP($CO318,PerStBal,5)+X318,0),IF('283'!$K$253=1,(VLOOKUP($CO318,PerPortion,5)*VLOOKUP($CO318,PerStBal,6))+X318,GL!BV318))),0)</f>
        <v>0</v>
      </c>
      <c r="CN318" s="50">
        <f t="shared" ca="1" si="382"/>
        <v>0</v>
      </c>
      <c r="CO318" s="4" t="str">
        <f t="shared" ca="1" si="383"/>
        <v/>
      </c>
      <c r="CP318" s="377">
        <f t="shared" si="344"/>
        <v>0</v>
      </c>
      <c r="DI318" s="4">
        <f t="shared" si="384"/>
        <v>45422</v>
      </c>
      <c r="DJ318" s="112">
        <f t="shared" ca="1" si="385"/>
        <v>0</v>
      </c>
      <c r="DK318" s="112">
        <f t="shared" si="386"/>
        <v>0</v>
      </c>
      <c r="DL318" s="4">
        <f t="shared" si="387"/>
        <v>45422</v>
      </c>
      <c r="DM318" s="112">
        <f t="shared" ca="1" si="388"/>
        <v>0</v>
      </c>
      <c r="DN318" s="112">
        <f t="shared" si="389"/>
        <v>0</v>
      </c>
      <c r="DO318" s="4">
        <f t="shared" si="390"/>
        <v>45422</v>
      </c>
      <c r="DP318" s="112">
        <f t="shared" ca="1" si="391"/>
        <v>0</v>
      </c>
      <c r="DQ318" s="112">
        <f t="shared" si="392"/>
        <v>0</v>
      </c>
      <c r="DR318" s="4">
        <f t="shared" si="393"/>
        <v>45422</v>
      </c>
      <c r="DS318" s="112">
        <f t="shared" ca="1" si="394"/>
        <v>0</v>
      </c>
      <c r="DT318" s="112">
        <f t="shared" si="395"/>
        <v>0</v>
      </c>
      <c r="DU318" s="4">
        <f t="shared" si="396"/>
        <v>45422</v>
      </c>
      <c r="DV318" s="112">
        <f t="shared" si="397"/>
        <v>0</v>
      </c>
      <c r="DW318" s="112">
        <f t="shared" si="398"/>
        <v>0</v>
      </c>
    </row>
    <row r="319" spans="4:127" x14ac:dyDescent="0.25">
      <c r="D319" s="135">
        <f t="shared" ca="1" si="401"/>
        <v>0</v>
      </c>
      <c r="E319" s="132">
        <f t="shared" ca="1" si="401"/>
        <v>0</v>
      </c>
      <c r="F319" s="132">
        <f t="shared" ca="1" si="401"/>
        <v>0</v>
      </c>
      <c r="G319" s="136">
        <f t="shared" ca="1" si="401"/>
        <v>0</v>
      </c>
      <c r="K319" s="135">
        <f t="shared" ca="1" si="402"/>
        <v>0</v>
      </c>
      <c r="L319" s="132">
        <f t="shared" ca="1" si="402"/>
        <v>0</v>
      </c>
      <c r="M319" s="132">
        <f t="shared" ca="1" si="402"/>
        <v>0</v>
      </c>
      <c r="N319" s="132">
        <f t="shared" ca="1" si="402"/>
        <v>0</v>
      </c>
      <c r="O319" s="136">
        <f t="shared" ca="1" si="402"/>
        <v>0</v>
      </c>
      <c r="Q319" s="4">
        <f t="shared" si="345"/>
        <v>45423</v>
      </c>
      <c r="R319" s="24">
        <f t="shared" si="346"/>
        <v>0</v>
      </c>
      <c r="S319" s="25">
        <f t="shared" si="347"/>
        <v>0</v>
      </c>
      <c r="T319" s="24">
        <f t="shared" si="348"/>
        <v>0</v>
      </c>
      <c r="U319" s="25">
        <f t="shared" si="349"/>
        <v>0</v>
      </c>
      <c r="V319" s="24">
        <f t="shared" si="350"/>
        <v>0</v>
      </c>
      <c r="W319" s="25">
        <f t="shared" si="351"/>
        <v>0</v>
      </c>
      <c r="X319" s="24">
        <f t="shared" si="352"/>
        <v>0</v>
      </c>
      <c r="Y319" s="26">
        <f t="shared" si="353"/>
        <v>0</v>
      </c>
      <c r="Z319" s="27">
        <f t="shared" si="354"/>
        <v>0</v>
      </c>
      <c r="AA319" s="28">
        <f t="shared" si="355"/>
        <v>45423</v>
      </c>
      <c r="AB319" s="24">
        <f t="shared" si="356"/>
        <v>0</v>
      </c>
      <c r="AC319" s="25">
        <f t="shared" si="357"/>
        <v>0</v>
      </c>
      <c r="AD319" s="28">
        <f t="shared" si="358"/>
        <v>45423</v>
      </c>
      <c r="AE319" s="24">
        <f t="shared" si="359"/>
        <v>0</v>
      </c>
      <c r="AF319" s="25">
        <f t="shared" si="360"/>
        <v>0</v>
      </c>
      <c r="AG319" s="28">
        <f t="shared" si="361"/>
        <v>45423</v>
      </c>
      <c r="AH319" s="24">
        <f t="shared" si="362"/>
        <v>0</v>
      </c>
      <c r="AI319" s="25">
        <f t="shared" si="363"/>
        <v>0</v>
      </c>
      <c r="AJ319" s="28">
        <f t="shared" si="364"/>
        <v>45423</v>
      </c>
      <c r="AK319" s="24">
        <f t="shared" si="365"/>
        <v>0</v>
      </c>
      <c r="AL319" s="25">
        <f t="shared" si="366"/>
        <v>0</v>
      </c>
      <c r="AM319" s="29">
        <f t="shared" si="367"/>
        <v>0</v>
      </c>
      <c r="AN319" s="28">
        <f t="shared" si="368"/>
        <v>45423</v>
      </c>
      <c r="AO319" s="373">
        <f t="shared" si="337"/>
        <v>0</v>
      </c>
      <c r="AP319" s="374">
        <f t="shared" si="338"/>
        <v>0</v>
      </c>
      <c r="AQ319" s="27">
        <f t="shared" si="339"/>
        <v>0</v>
      </c>
      <c r="AR319" s="25">
        <f t="shared" si="340"/>
        <v>0</v>
      </c>
      <c r="AS319" s="25">
        <f t="shared" si="341"/>
        <v>0</v>
      </c>
      <c r="AT319" s="25">
        <f t="shared" si="342"/>
        <v>0</v>
      </c>
      <c r="AU319" s="29">
        <f t="shared" si="399"/>
        <v>0</v>
      </c>
      <c r="AV319" s="27">
        <f t="shared" si="369"/>
        <v>0</v>
      </c>
      <c r="AW319" s="27">
        <f t="shared" si="370"/>
        <v>0</v>
      </c>
      <c r="AX319" s="27">
        <f t="shared" si="371"/>
        <v>0</v>
      </c>
      <c r="AY319" s="27">
        <f t="shared" si="372"/>
        <v>0</v>
      </c>
      <c r="BH319" s="2">
        <f t="shared" si="373"/>
        <v>0</v>
      </c>
      <c r="BI319" s="298" t="str">
        <f t="shared" si="374"/>
        <v/>
      </c>
      <c r="BJ319" s="298" t="str">
        <f t="shared" si="343"/>
        <v/>
      </c>
      <c r="BQ319" s="4">
        <f t="shared" si="375"/>
        <v>45423</v>
      </c>
      <c r="BR319" s="112">
        <f t="shared" si="376"/>
        <v>0</v>
      </c>
      <c r="BS319" s="112">
        <f t="shared" si="377"/>
        <v>0</v>
      </c>
      <c r="BT319" s="112">
        <f t="shared" si="378"/>
        <v>0</v>
      </c>
      <c r="BU319" s="112">
        <f t="shared" si="379"/>
        <v>0</v>
      </c>
      <c r="BV319" s="112">
        <f t="shared" si="380"/>
        <v>0</v>
      </c>
      <c r="CI319" s="4">
        <f t="shared" si="381"/>
        <v>45423</v>
      </c>
      <c r="CJ319" s="50">
        <f ca="1">IF($BH319=0,IF($CO319="",CJ318+R319,IF('283'!$K$251=1,VLOOKUP($CO319,PerStBal,2)+R319,IF('283'!$K$253=1,(VLOOKUP($CO319,PerPortion,2)*VLOOKUP($CO319,PerStBal,6))+R319,GL!BS319))),0)</f>
        <v>0</v>
      </c>
      <c r="CK319" s="425">
        <f ca="1">IF($BH319=0,IF($CO319="",CK318+T319,IF('283'!$K$251=1,IF(mname2&lt;&gt;"",VLOOKUP($CO319,PerStBal,3)+T319,0),IF('283'!$K$253=1,(VLOOKUP($CO319,PerPortion,3)*VLOOKUP($CO319,PerStBal,6))+T319,GL!BT319))),0)</f>
        <v>0</v>
      </c>
      <c r="CL319" s="425">
        <f ca="1">IF($BH319=0,IF($CO319="",CL318+V319,IF('283'!$K$251=1,IF(mname3&lt;&gt;"",VLOOKUP($CO319,PerStBal,4)+V319,0),IF('283'!$K$253=1,(VLOOKUP($CO319,PerPortion,4)*VLOOKUP($CO319,PerStBal,6))+V319,GL!BU319))),0)</f>
        <v>0</v>
      </c>
      <c r="CM319" s="425">
        <f ca="1">IF($BH319=0,IF($CO319="",CM318+X319,IF('283'!$K$251=1,IF(mname4&lt;&gt;"",VLOOKUP($CO319,PerStBal,5)+X319,0),IF('283'!$K$253=1,(VLOOKUP($CO319,PerPortion,5)*VLOOKUP($CO319,PerStBal,6))+X319,GL!BV319))),0)</f>
        <v>0</v>
      </c>
      <c r="CN319" s="50">
        <f t="shared" ca="1" si="382"/>
        <v>0</v>
      </c>
      <c r="CO319" s="4" t="str">
        <f t="shared" ca="1" si="383"/>
        <v/>
      </c>
      <c r="CP319" s="377">
        <f t="shared" si="344"/>
        <v>0</v>
      </c>
      <c r="DI319" s="4">
        <f t="shared" si="384"/>
        <v>45423</v>
      </c>
      <c r="DJ319" s="112">
        <f t="shared" ca="1" si="385"/>
        <v>0</v>
      </c>
      <c r="DK319" s="112">
        <f t="shared" si="386"/>
        <v>0</v>
      </c>
      <c r="DL319" s="4">
        <f t="shared" si="387"/>
        <v>45423</v>
      </c>
      <c r="DM319" s="112">
        <f t="shared" ca="1" si="388"/>
        <v>0</v>
      </c>
      <c r="DN319" s="112">
        <f t="shared" si="389"/>
        <v>0</v>
      </c>
      <c r="DO319" s="4">
        <f t="shared" si="390"/>
        <v>45423</v>
      </c>
      <c r="DP319" s="112">
        <f t="shared" ca="1" si="391"/>
        <v>0</v>
      </c>
      <c r="DQ319" s="112">
        <f t="shared" si="392"/>
        <v>0</v>
      </c>
      <c r="DR319" s="4">
        <f t="shared" si="393"/>
        <v>45423</v>
      </c>
      <c r="DS319" s="112">
        <f t="shared" ca="1" si="394"/>
        <v>0</v>
      </c>
      <c r="DT319" s="112">
        <f t="shared" si="395"/>
        <v>0</v>
      </c>
      <c r="DU319" s="4">
        <f t="shared" si="396"/>
        <v>45423</v>
      </c>
      <c r="DV319" s="112">
        <f t="shared" si="397"/>
        <v>0</v>
      </c>
      <c r="DW319" s="112">
        <f t="shared" si="398"/>
        <v>0</v>
      </c>
    </row>
    <row r="320" spans="4:127" x14ac:dyDescent="0.25">
      <c r="D320" s="135">
        <f t="shared" ca="1" si="401"/>
        <v>0</v>
      </c>
      <c r="E320" s="132">
        <f t="shared" ca="1" si="401"/>
        <v>0</v>
      </c>
      <c r="F320" s="132">
        <f t="shared" ca="1" si="401"/>
        <v>0</v>
      </c>
      <c r="G320" s="136">
        <f t="shared" ca="1" si="401"/>
        <v>0</v>
      </c>
      <c r="K320" s="135">
        <f t="shared" ca="1" si="402"/>
        <v>0</v>
      </c>
      <c r="L320" s="132">
        <f t="shared" ca="1" si="402"/>
        <v>0</v>
      </c>
      <c r="M320" s="132">
        <f t="shared" ca="1" si="402"/>
        <v>0</v>
      </c>
      <c r="N320" s="132">
        <f t="shared" ca="1" si="402"/>
        <v>0</v>
      </c>
      <c r="O320" s="136">
        <f t="shared" ca="1" si="402"/>
        <v>0</v>
      </c>
      <c r="Q320" s="4">
        <f t="shared" si="345"/>
        <v>45424</v>
      </c>
      <c r="R320" s="24">
        <f t="shared" si="346"/>
        <v>0</v>
      </c>
      <c r="S320" s="25">
        <f t="shared" si="347"/>
        <v>0</v>
      </c>
      <c r="T320" s="24">
        <f t="shared" si="348"/>
        <v>0</v>
      </c>
      <c r="U320" s="25">
        <f t="shared" si="349"/>
        <v>0</v>
      </c>
      <c r="V320" s="24">
        <f t="shared" si="350"/>
        <v>0</v>
      </c>
      <c r="W320" s="25">
        <f t="shared" si="351"/>
        <v>0</v>
      </c>
      <c r="X320" s="24">
        <f t="shared" si="352"/>
        <v>0</v>
      </c>
      <c r="Y320" s="26">
        <f t="shared" si="353"/>
        <v>0</v>
      </c>
      <c r="Z320" s="27">
        <f t="shared" si="354"/>
        <v>0</v>
      </c>
      <c r="AA320" s="28">
        <f t="shared" si="355"/>
        <v>45424</v>
      </c>
      <c r="AB320" s="24">
        <f t="shared" si="356"/>
        <v>0</v>
      </c>
      <c r="AC320" s="25">
        <f t="shared" si="357"/>
        <v>0</v>
      </c>
      <c r="AD320" s="28">
        <f t="shared" si="358"/>
        <v>45424</v>
      </c>
      <c r="AE320" s="24">
        <f t="shared" si="359"/>
        <v>0</v>
      </c>
      <c r="AF320" s="25">
        <f t="shared" si="360"/>
        <v>0</v>
      </c>
      <c r="AG320" s="28">
        <f t="shared" si="361"/>
        <v>45424</v>
      </c>
      <c r="AH320" s="24">
        <f t="shared" si="362"/>
        <v>0</v>
      </c>
      <c r="AI320" s="25">
        <f t="shared" si="363"/>
        <v>0</v>
      </c>
      <c r="AJ320" s="28">
        <f t="shared" si="364"/>
        <v>45424</v>
      </c>
      <c r="AK320" s="24">
        <f t="shared" si="365"/>
        <v>0</v>
      </c>
      <c r="AL320" s="25">
        <f t="shared" si="366"/>
        <v>0</v>
      </c>
      <c r="AM320" s="29">
        <f t="shared" si="367"/>
        <v>0</v>
      </c>
      <c r="AN320" s="28">
        <f t="shared" si="368"/>
        <v>45424</v>
      </c>
      <c r="AO320" s="373">
        <f t="shared" si="337"/>
        <v>0</v>
      </c>
      <c r="AP320" s="374">
        <f t="shared" si="338"/>
        <v>0</v>
      </c>
      <c r="AQ320" s="27">
        <f t="shared" si="339"/>
        <v>0</v>
      </c>
      <c r="AR320" s="25">
        <f t="shared" si="340"/>
        <v>0</v>
      </c>
      <c r="AS320" s="25">
        <f t="shared" si="341"/>
        <v>0</v>
      </c>
      <c r="AT320" s="25">
        <f t="shared" si="342"/>
        <v>0</v>
      </c>
      <c r="AU320" s="29">
        <f t="shared" si="399"/>
        <v>0</v>
      </c>
      <c r="AV320" s="27">
        <f t="shared" si="369"/>
        <v>0</v>
      </c>
      <c r="AW320" s="27">
        <f t="shared" si="370"/>
        <v>0</v>
      </c>
      <c r="AX320" s="27">
        <f t="shared" si="371"/>
        <v>0</v>
      </c>
      <c r="AY320" s="27">
        <f t="shared" si="372"/>
        <v>0</v>
      </c>
      <c r="BH320" s="2">
        <f t="shared" si="373"/>
        <v>0</v>
      </c>
      <c r="BI320" s="298" t="str">
        <f t="shared" si="374"/>
        <v/>
      </c>
      <c r="BJ320" s="298" t="str">
        <f t="shared" si="343"/>
        <v/>
      </c>
      <c r="BQ320" s="4">
        <f t="shared" si="375"/>
        <v>45424</v>
      </c>
      <c r="BR320" s="112">
        <f t="shared" si="376"/>
        <v>0</v>
      </c>
      <c r="BS320" s="112">
        <f t="shared" si="377"/>
        <v>0</v>
      </c>
      <c r="BT320" s="112">
        <f t="shared" si="378"/>
        <v>0</v>
      </c>
      <c r="BU320" s="112">
        <f t="shared" si="379"/>
        <v>0</v>
      </c>
      <c r="BV320" s="112">
        <f t="shared" si="380"/>
        <v>0</v>
      </c>
      <c r="CI320" s="4">
        <f t="shared" si="381"/>
        <v>45424</v>
      </c>
      <c r="CJ320" s="50">
        <f ca="1">IF($BH320=0,IF($CO320="",CJ319+R320,IF('283'!$K$251=1,VLOOKUP($CO320,PerStBal,2)+R320,IF('283'!$K$253=1,(VLOOKUP($CO320,PerPortion,2)*VLOOKUP($CO320,PerStBal,6))+R320,GL!BS320))),0)</f>
        <v>0</v>
      </c>
      <c r="CK320" s="425">
        <f ca="1">IF($BH320=0,IF($CO320="",CK319+T320,IF('283'!$K$251=1,IF(mname2&lt;&gt;"",VLOOKUP($CO320,PerStBal,3)+T320,0),IF('283'!$K$253=1,(VLOOKUP($CO320,PerPortion,3)*VLOOKUP($CO320,PerStBal,6))+T320,GL!BT320))),0)</f>
        <v>0</v>
      </c>
      <c r="CL320" s="425">
        <f ca="1">IF($BH320=0,IF($CO320="",CL319+V320,IF('283'!$K$251=1,IF(mname3&lt;&gt;"",VLOOKUP($CO320,PerStBal,4)+V320,0),IF('283'!$K$253=1,(VLOOKUP($CO320,PerPortion,4)*VLOOKUP($CO320,PerStBal,6))+V320,GL!BU320))),0)</f>
        <v>0</v>
      </c>
      <c r="CM320" s="425">
        <f ca="1">IF($BH320=0,IF($CO320="",CM319+X320,IF('283'!$K$251=1,IF(mname4&lt;&gt;"",VLOOKUP($CO320,PerStBal,5)+X320,0),IF('283'!$K$253=1,(VLOOKUP($CO320,PerPortion,5)*VLOOKUP($CO320,PerStBal,6))+X320,GL!BV320))),0)</f>
        <v>0</v>
      </c>
      <c r="CN320" s="50">
        <f t="shared" ca="1" si="382"/>
        <v>0</v>
      </c>
      <c r="CO320" s="4" t="str">
        <f t="shared" ca="1" si="383"/>
        <v/>
      </c>
      <c r="CP320" s="377">
        <f t="shared" si="344"/>
        <v>0</v>
      </c>
      <c r="DI320" s="4">
        <f t="shared" si="384"/>
        <v>45424</v>
      </c>
      <c r="DJ320" s="112">
        <f t="shared" ca="1" si="385"/>
        <v>0</v>
      </c>
      <c r="DK320" s="112">
        <f t="shared" si="386"/>
        <v>0</v>
      </c>
      <c r="DL320" s="4">
        <f t="shared" si="387"/>
        <v>45424</v>
      </c>
      <c r="DM320" s="112">
        <f t="shared" ca="1" si="388"/>
        <v>0</v>
      </c>
      <c r="DN320" s="112">
        <f t="shared" si="389"/>
        <v>0</v>
      </c>
      <c r="DO320" s="4">
        <f t="shared" si="390"/>
        <v>45424</v>
      </c>
      <c r="DP320" s="112">
        <f t="shared" ca="1" si="391"/>
        <v>0</v>
      </c>
      <c r="DQ320" s="112">
        <f t="shared" si="392"/>
        <v>0</v>
      </c>
      <c r="DR320" s="4">
        <f t="shared" si="393"/>
        <v>45424</v>
      </c>
      <c r="DS320" s="112">
        <f t="shared" ca="1" si="394"/>
        <v>0</v>
      </c>
      <c r="DT320" s="112">
        <f t="shared" si="395"/>
        <v>0</v>
      </c>
      <c r="DU320" s="4">
        <f t="shared" si="396"/>
        <v>45424</v>
      </c>
      <c r="DV320" s="112">
        <f t="shared" si="397"/>
        <v>0</v>
      </c>
      <c r="DW320" s="112">
        <f t="shared" si="398"/>
        <v>0</v>
      </c>
    </row>
    <row r="321" spans="4:127" x14ac:dyDescent="0.25">
      <c r="D321" s="135">
        <f t="shared" ca="1" si="401"/>
        <v>0</v>
      </c>
      <c r="E321" s="132">
        <f t="shared" ca="1" si="401"/>
        <v>0</v>
      </c>
      <c r="F321" s="132">
        <f t="shared" ca="1" si="401"/>
        <v>0</v>
      </c>
      <c r="G321" s="136">
        <f t="shared" ca="1" si="401"/>
        <v>0</v>
      </c>
      <c r="K321" s="135">
        <f t="shared" ca="1" si="402"/>
        <v>0</v>
      </c>
      <c r="L321" s="132">
        <f t="shared" ca="1" si="402"/>
        <v>0</v>
      </c>
      <c r="M321" s="132">
        <f t="shared" ca="1" si="402"/>
        <v>0</v>
      </c>
      <c r="N321" s="132">
        <f t="shared" ca="1" si="402"/>
        <v>0</v>
      </c>
      <c r="O321" s="136">
        <f t="shared" ca="1" si="402"/>
        <v>0</v>
      </c>
      <c r="Q321" s="4">
        <f t="shared" si="345"/>
        <v>45425</v>
      </c>
      <c r="R321" s="24">
        <f t="shared" si="346"/>
        <v>0</v>
      </c>
      <c r="S321" s="25">
        <f t="shared" si="347"/>
        <v>0</v>
      </c>
      <c r="T321" s="24">
        <f t="shared" si="348"/>
        <v>0</v>
      </c>
      <c r="U321" s="25">
        <f t="shared" si="349"/>
        <v>0</v>
      </c>
      <c r="V321" s="24">
        <f t="shared" si="350"/>
        <v>0</v>
      </c>
      <c r="W321" s="25">
        <f t="shared" si="351"/>
        <v>0</v>
      </c>
      <c r="X321" s="24">
        <f t="shared" si="352"/>
        <v>0</v>
      </c>
      <c r="Y321" s="26">
        <f t="shared" si="353"/>
        <v>0</v>
      </c>
      <c r="Z321" s="27">
        <f t="shared" si="354"/>
        <v>0</v>
      </c>
      <c r="AA321" s="28">
        <f t="shared" si="355"/>
        <v>45425</v>
      </c>
      <c r="AB321" s="24">
        <f t="shared" si="356"/>
        <v>0</v>
      </c>
      <c r="AC321" s="25">
        <f t="shared" si="357"/>
        <v>0</v>
      </c>
      <c r="AD321" s="28">
        <f t="shared" si="358"/>
        <v>45425</v>
      </c>
      <c r="AE321" s="24">
        <f t="shared" si="359"/>
        <v>0</v>
      </c>
      <c r="AF321" s="25">
        <f t="shared" si="360"/>
        <v>0</v>
      </c>
      <c r="AG321" s="28">
        <f t="shared" si="361"/>
        <v>45425</v>
      </c>
      <c r="AH321" s="24">
        <f t="shared" si="362"/>
        <v>0</v>
      </c>
      <c r="AI321" s="25">
        <f t="shared" si="363"/>
        <v>0</v>
      </c>
      <c r="AJ321" s="28">
        <f t="shared" si="364"/>
        <v>45425</v>
      </c>
      <c r="AK321" s="24">
        <f t="shared" si="365"/>
        <v>0</v>
      </c>
      <c r="AL321" s="25">
        <f t="shared" si="366"/>
        <v>0</v>
      </c>
      <c r="AM321" s="29">
        <f t="shared" si="367"/>
        <v>0</v>
      </c>
      <c r="AN321" s="28">
        <f t="shared" si="368"/>
        <v>45425</v>
      </c>
      <c r="AO321" s="373">
        <f t="shared" si="337"/>
        <v>0</v>
      </c>
      <c r="AP321" s="374">
        <f t="shared" si="338"/>
        <v>0</v>
      </c>
      <c r="AQ321" s="27">
        <f t="shared" si="339"/>
        <v>0</v>
      </c>
      <c r="AR321" s="25">
        <f t="shared" si="340"/>
        <v>0</v>
      </c>
      <c r="AS321" s="25">
        <f t="shared" si="341"/>
        <v>0</v>
      </c>
      <c r="AT321" s="25">
        <f t="shared" si="342"/>
        <v>0</v>
      </c>
      <c r="AU321" s="29">
        <f t="shared" si="399"/>
        <v>0</v>
      </c>
      <c r="AV321" s="27">
        <f t="shared" si="369"/>
        <v>0</v>
      </c>
      <c r="AW321" s="27">
        <f t="shared" si="370"/>
        <v>0</v>
      </c>
      <c r="AX321" s="27">
        <f t="shared" si="371"/>
        <v>0</v>
      </c>
      <c r="AY321" s="27">
        <f t="shared" si="372"/>
        <v>0</v>
      </c>
      <c r="BH321" s="2">
        <f t="shared" si="373"/>
        <v>0</v>
      </c>
      <c r="BI321" s="298" t="str">
        <f t="shared" si="374"/>
        <v/>
      </c>
      <c r="BJ321" s="298" t="str">
        <f t="shared" si="343"/>
        <v/>
      </c>
      <c r="BQ321" s="4">
        <f t="shared" si="375"/>
        <v>45425</v>
      </c>
      <c r="BR321" s="112">
        <f t="shared" si="376"/>
        <v>0</v>
      </c>
      <c r="BS321" s="112">
        <f t="shared" si="377"/>
        <v>0</v>
      </c>
      <c r="BT321" s="112">
        <f t="shared" si="378"/>
        <v>0</v>
      </c>
      <c r="BU321" s="112">
        <f t="shared" si="379"/>
        <v>0</v>
      </c>
      <c r="BV321" s="112">
        <f t="shared" si="380"/>
        <v>0</v>
      </c>
      <c r="CI321" s="4">
        <f t="shared" si="381"/>
        <v>45425</v>
      </c>
      <c r="CJ321" s="50">
        <f ca="1">IF($BH321=0,IF($CO321="",CJ320+R321,IF('283'!$K$251=1,VLOOKUP($CO321,PerStBal,2)+R321,IF('283'!$K$253=1,(VLOOKUP($CO321,PerPortion,2)*VLOOKUP($CO321,PerStBal,6))+R321,GL!BS321))),0)</f>
        <v>0</v>
      </c>
      <c r="CK321" s="425">
        <f ca="1">IF($BH321=0,IF($CO321="",CK320+T321,IF('283'!$K$251=1,IF(mname2&lt;&gt;"",VLOOKUP($CO321,PerStBal,3)+T321,0),IF('283'!$K$253=1,(VLOOKUP($CO321,PerPortion,3)*VLOOKUP($CO321,PerStBal,6))+T321,GL!BT321))),0)</f>
        <v>0</v>
      </c>
      <c r="CL321" s="425">
        <f ca="1">IF($BH321=0,IF($CO321="",CL320+V321,IF('283'!$K$251=1,IF(mname3&lt;&gt;"",VLOOKUP($CO321,PerStBal,4)+V321,0),IF('283'!$K$253=1,(VLOOKUP($CO321,PerPortion,4)*VLOOKUP($CO321,PerStBal,6))+V321,GL!BU321))),0)</f>
        <v>0</v>
      </c>
      <c r="CM321" s="425">
        <f ca="1">IF($BH321=0,IF($CO321="",CM320+X321,IF('283'!$K$251=1,IF(mname4&lt;&gt;"",VLOOKUP($CO321,PerStBal,5)+X321,0),IF('283'!$K$253=1,(VLOOKUP($CO321,PerPortion,5)*VLOOKUP($CO321,PerStBal,6))+X321,GL!BV321))),0)</f>
        <v>0</v>
      </c>
      <c r="CN321" s="50">
        <f t="shared" ca="1" si="382"/>
        <v>0</v>
      </c>
      <c r="CO321" s="4" t="str">
        <f t="shared" ca="1" si="383"/>
        <v/>
      </c>
      <c r="CP321" s="377">
        <f t="shared" si="344"/>
        <v>0</v>
      </c>
      <c r="DI321" s="4">
        <f t="shared" si="384"/>
        <v>45425</v>
      </c>
      <c r="DJ321" s="112">
        <f t="shared" ca="1" si="385"/>
        <v>0</v>
      </c>
      <c r="DK321" s="112">
        <f t="shared" si="386"/>
        <v>0</v>
      </c>
      <c r="DL321" s="4">
        <f t="shared" si="387"/>
        <v>45425</v>
      </c>
      <c r="DM321" s="112">
        <f t="shared" ca="1" si="388"/>
        <v>0</v>
      </c>
      <c r="DN321" s="112">
        <f t="shared" si="389"/>
        <v>0</v>
      </c>
      <c r="DO321" s="4">
        <f t="shared" si="390"/>
        <v>45425</v>
      </c>
      <c r="DP321" s="112">
        <f t="shared" ca="1" si="391"/>
        <v>0</v>
      </c>
      <c r="DQ321" s="112">
        <f t="shared" si="392"/>
        <v>0</v>
      </c>
      <c r="DR321" s="4">
        <f t="shared" si="393"/>
        <v>45425</v>
      </c>
      <c r="DS321" s="112">
        <f t="shared" ca="1" si="394"/>
        <v>0</v>
      </c>
      <c r="DT321" s="112">
        <f t="shared" si="395"/>
        <v>0</v>
      </c>
      <c r="DU321" s="4">
        <f t="shared" si="396"/>
        <v>45425</v>
      </c>
      <c r="DV321" s="112">
        <f t="shared" si="397"/>
        <v>0</v>
      </c>
      <c r="DW321" s="112">
        <f t="shared" si="398"/>
        <v>0</v>
      </c>
    </row>
    <row r="322" spans="4:127" x14ac:dyDescent="0.25">
      <c r="D322" s="135">
        <f t="shared" ca="1" si="401"/>
        <v>0</v>
      </c>
      <c r="E322" s="132">
        <f t="shared" ca="1" si="401"/>
        <v>0</v>
      </c>
      <c r="F322" s="132">
        <f t="shared" ca="1" si="401"/>
        <v>0</v>
      </c>
      <c r="G322" s="136">
        <f t="shared" ca="1" si="401"/>
        <v>0</v>
      </c>
      <c r="K322" s="135">
        <f t="shared" ca="1" si="402"/>
        <v>0</v>
      </c>
      <c r="L322" s="132">
        <f t="shared" ca="1" si="402"/>
        <v>0</v>
      </c>
      <c r="M322" s="132">
        <f t="shared" ca="1" si="402"/>
        <v>0</v>
      </c>
      <c r="N322" s="132">
        <f t="shared" ca="1" si="402"/>
        <v>0</v>
      </c>
      <c r="O322" s="136">
        <f t="shared" ca="1" si="402"/>
        <v>0</v>
      </c>
      <c r="Q322" s="4">
        <f t="shared" si="345"/>
        <v>45426</v>
      </c>
      <c r="R322" s="24">
        <f t="shared" si="346"/>
        <v>0</v>
      </c>
      <c r="S322" s="25">
        <f t="shared" si="347"/>
        <v>0</v>
      </c>
      <c r="T322" s="24">
        <f t="shared" si="348"/>
        <v>0</v>
      </c>
      <c r="U322" s="25">
        <f t="shared" si="349"/>
        <v>0</v>
      </c>
      <c r="V322" s="24">
        <f t="shared" si="350"/>
        <v>0</v>
      </c>
      <c r="W322" s="25">
        <f t="shared" si="351"/>
        <v>0</v>
      </c>
      <c r="X322" s="24">
        <f t="shared" si="352"/>
        <v>0</v>
      </c>
      <c r="Y322" s="26">
        <f t="shared" si="353"/>
        <v>0</v>
      </c>
      <c r="Z322" s="27">
        <f t="shared" si="354"/>
        <v>0</v>
      </c>
      <c r="AA322" s="28">
        <f t="shared" si="355"/>
        <v>45426</v>
      </c>
      <c r="AB322" s="24">
        <f t="shared" si="356"/>
        <v>0</v>
      </c>
      <c r="AC322" s="25">
        <f t="shared" si="357"/>
        <v>0</v>
      </c>
      <c r="AD322" s="28">
        <f t="shared" si="358"/>
        <v>45426</v>
      </c>
      <c r="AE322" s="24">
        <f t="shared" si="359"/>
        <v>0</v>
      </c>
      <c r="AF322" s="25">
        <f t="shared" si="360"/>
        <v>0</v>
      </c>
      <c r="AG322" s="28">
        <f t="shared" si="361"/>
        <v>45426</v>
      </c>
      <c r="AH322" s="24">
        <f t="shared" si="362"/>
        <v>0</v>
      </c>
      <c r="AI322" s="25">
        <f t="shared" si="363"/>
        <v>0</v>
      </c>
      <c r="AJ322" s="28">
        <f t="shared" si="364"/>
        <v>45426</v>
      </c>
      <c r="AK322" s="24">
        <f t="shared" si="365"/>
        <v>0</v>
      </c>
      <c r="AL322" s="25">
        <f t="shared" si="366"/>
        <v>0</v>
      </c>
      <c r="AM322" s="29">
        <f t="shared" si="367"/>
        <v>0</v>
      </c>
      <c r="AN322" s="28">
        <f t="shared" si="368"/>
        <v>45426</v>
      </c>
      <c r="AO322" s="373">
        <f t="shared" si="337"/>
        <v>0</v>
      </c>
      <c r="AP322" s="374">
        <f t="shared" si="338"/>
        <v>0</v>
      </c>
      <c r="AQ322" s="27">
        <f t="shared" si="339"/>
        <v>0</v>
      </c>
      <c r="AR322" s="25">
        <f t="shared" si="340"/>
        <v>0</v>
      </c>
      <c r="AS322" s="25">
        <f t="shared" si="341"/>
        <v>0</v>
      </c>
      <c r="AT322" s="25">
        <f t="shared" si="342"/>
        <v>0</v>
      </c>
      <c r="AU322" s="29">
        <f t="shared" si="399"/>
        <v>0</v>
      </c>
      <c r="AV322" s="27">
        <f t="shared" si="369"/>
        <v>0</v>
      </c>
      <c r="AW322" s="27">
        <f t="shared" si="370"/>
        <v>0</v>
      </c>
      <c r="AX322" s="27">
        <f t="shared" si="371"/>
        <v>0</v>
      </c>
      <c r="AY322" s="27">
        <f t="shared" si="372"/>
        <v>0</v>
      </c>
      <c r="BH322" s="2">
        <f t="shared" si="373"/>
        <v>0</v>
      </c>
      <c r="BI322" s="298" t="str">
        <f t="shared" si="374"/>
        <v/>
      </c>
      <c r="BJ322" s="298" t="str">
        <f t="shared" si="343"/>
        <v/>
      </c>
      <c r="BQ322" s="4">
        <f t="shared" si="375"/>
        <v>45426</v>
      </c>
      <c r="BR322" s="112">
        <f t="shared" si="376"/>
        <v>0</v>
      </c>
      <c r="BS322" s="112">
        <f t="shared" si="377"/>
        <v>0</v>
      </c>
      <c r="BT322" s="112">
        <f t="shared" si="378"/>
        <v>0</v>
      </c>
      <c r="BU322" s="112">
        <f t="shared" si="379"/>
        <v>0</v>
      </c>
      <c r="BV322" s="112">
        <f t="shared" si="380"/>
        <v>0</v>
      </c>
      <c r="CI322" s="4">
        <f t="shared" si="381"/>
        <v>45426</v>
      </c>
      <c r="CJ322" s="50">
        <f ca="1">IF($BH322=0,IF($CO322="",CJ321+R322,IF('283'!$K$251=1,VLOOKUP($CO322,PerStBal,2)+R322,IF('283'!$K$253=1,(VLOOKUP($CO322,PerPortion,2)*VLOOKUP($CO322,PerStBal,6))+R322,GL!BS322))),0)</f>
        <v>0</v>
      </c>
      <c r="CK322" s="425">
        <f ca="1">IF($BH322=0,IF($CO322="",CK321+T322,IF('283'!$K$251=1,IF(mname2&lt;&gt;"",VLOOKUP($CO322,PerStBal,3)+T322,0),IF('283'!$K$253=1,(VLOOKUP($CO322,PerPortion,3)*VLOOKUP($CO322,PerStBal,6))+T322,GL!BT322))),0)</f>
        <v>0</v>
      </c>
      <c r="CL322" s="425">
        <f ca="1">IF($BH322=0,IF($CO322="",CL321+V322,IF('283'!$K$251=1,IF(mname3&lt;&gt;"",VLOOKUP($CO322,PerStBal,4)+V322,0),IF('283'!$K$253=1,(VLOOKUP($CO322,PerPortion,4)*VLOOKUP($CO322,PerStBal,6))+V322,GL!BU322))),0)</f>
        <v>0</v>
      </c>
      <c r="CM322" s="425">
        <f ca="1">IF($BH322=0,IF($CO322="",CM321+X322,IF('283'!$K$251=1,IF(mname4&lt;&gt;"",VLOOKUP($CO322,PerStBal,5)+X322,0),IF('283'!$K$253=1,(VLOOKUP($CO322,PerPortion,5)*VLOOKUP($CO322,PerStBal,6))+X322,GL!BV322))),0)</f>
        <v>0</v>
      </c>
      <c r="CN322" s="50">
        <f t="shared" ca="1" si="382"/>
        <v>0</v>
      </c>
      <c r="CO322" s="4" t="str">
        <f t="shared" ca="1" si="383"/>
        <v/>
      </c>
      <c r="CP322" s="377">
        <f t="shared" si="344"/>
        <v>0</v>
      </c>
      <c r="DI322" s="4">
        <f t="shared" si="384"/>
        <v>45426</v>
      </c>
      <c r="DJ322" s="112">
        <f t="shared" ca="1" si="385"/>
        <v>0</v>
      </c>
      <c r="DK322" s="112">
        <f t="shared" si="386"/>
        <v>0</v>
      </c>
      <c r="DL322" s="4">
        <f t="shared" si="387"/>
        <v>45426</v>
      </c>
      <c r="DM322" s="112">
        <f t="shared" ca="1" si="388"/>
        <v>0</v>
      </c>
      <c r="DN322" s="112">
        <f t="shared" si="389"/>
        <v>0</v>
      </c>
      <c r="DO322" s="4">
        <f t="shared" si="390"/>
        <v>45426</v>
      </c>
      <c r="DP322" s="112">
        <f t="shared" ca="1" si="391"/>
        <v>0</v>
      </c>
      <c r="DQ322" s="112">
        <f t="shared" si="392"/>
        <v>0</v>
      </c>
      <c r="DR322" s="4">
        <f t="shared" si="393"/>
        <v>45426</v>
      </c>
      <c r="DS322" s="112">
        <f t="shared" ca="1" si="394"/>
        <v>0</v>
      </c>
      <c r="DT322" s="112">
        <f t="shared" si="395"/>
        <v>0</v>
      </c>
      <c r="DU322" s="4">
        <f t="shared" si="396"/>
        <v>45426</v>
      </c>
      <c r="DV322" s="112">
        <f t="shared" si="397"/>
        <v>0</v>
      </c>
      <c r="DW322" s="112">
        <f t="shared" si="398"/>
        <v>0</v>
      </c>
    </row>
    <row r="323" spans="4:127" x14ac:dyDescent="0.25">
      <c r="D323" s="135">
        <f t="shared" ca="1" si="401"/>
        <v>0</v>
      </c>
      <c r="E323" s="132">
        <f t="shared" ca="1" si="401"/>
        <v>0</v>
      </c>
      <c r="F323" s="132">
        <f t="shared" ca="1" si="401"/>
        <v>0</v>
      </c>
      <c r="G323" s="136">
        <f t="shared" ca="1" si="401"/>
        <v>0</v>
      </c>
      <c r="K323" s="135">
        <f t="shared" ca="1" si="402"/>
        <v>0</v>
      </c>
      <c r="L323" s="132">
        <f t="shared" ca="1" si="402"/>
        <v>0</v>
      </c>
      <c r="M323" s="132">
        <f t="shared" ca="1" si="402"/>
        <v>0</v>
      </c>
      <c r="N323" s="132">
        <f t="shared" ca="1" si="402"/>
        <v>0</v>
      </c>
      <c r="O323" s="136">
        <f t="shared" ca="1" si="402"/>
        <v>0</v>
      </c>
      <c r="Q323" s="4">
        <f t="shared" si="345"/>
        <v>45427</v>
      </c>
      <c r="R323" s="24">
        <f t="shared" si="346"/>
        <v>0</v>
      </c>
      <c r="S323" s="25">
        <f t="shared" si="347"/>
        <v>0</v>
      </c>
      <c r="T323" s="24">
        <f t="shared" si="348"/>
        <v>0</v>
      </c>
      <c r="U323" s="25">
        <f t="shared" si="349"/>
        <v>0</v>
      </c>
      <c r="V323" s="24">
        <f t="shared" si="350"/>
        <v>0</v>
      </c>
      <c r="W323" s="25">
        <f t="shared" si="351"/>
        <v>0</v>
      </c>
      <c r="X323" s="24">
        <f t="shared" si="352"/>
        <v>0</v>
      </c>
      <c r="Y323" s="26">
        <f t="shared" si="353"/>
        <v>0</v>
      </c>
      <c r="Z323" s="27">
        <f t="shared" si="354"/>
        <v>0</v>
      </c>
      <c r="AA323" s="28">
        <f t="shared" si="355"/>
        <v>45427</v>
      </c>
      <c r="AB323" s="24">
        <f t="shared" si="356"/>
        <v>0</v>
      </c>
      <c r="AC323" s="25">
        <f t="shared" si="357"/>
        <v>0</v>
      </c>
      <c r="AD323" s="28">
        <f t="shared" si="358"/>
        <v>45427</v>
      </c>
      <c r="AE323" s="24">
        <f t="shared" si="359"/>
        <v>0</v>
      </c>
      <c r="AF323" s="25">
        <f t="shared" si="360"/>
        <v>0</v>
      </c>
      <c r="AG323" s="28">
        <f t="shared" si="361"/>
        <v>45427</v>
      </c>
      <c r="AH323" s="24">
        <f t="shared" si="362"/>
        <v>0</v>
      </c>
      <c r="AI323" s="25">
        <f t="shared" si="363"/>
        <v>0</v>
      </c>
      <c r="AJ323" s="28">
        <f t="shared" si="364"/>
        <v>45427</v>
      </c>
      <c r="AK323" s="24">
        <f t="shared" si="365"/>
        <v>0</v>
      </c>
      <c r="AL323" s="25">
        <f t="shared" si="366"/>
        <v>0</v>
      </c>
      <c r="AM323" s="29">
        <f t="shared" si="367"/>
        <v>0</v>
      </c>
      <c r="AN323" s="28">
        <f t="shared" si="368"/>
        <v>45427</v>
      </c>
      <c r="AO323" s="373">
        <f t="shared" si="337"/>
        <v>0</v>
      </c>
      <c r="AP323" s="374">
        <f t="shared" si="338"/>
        <v>0</v>
      </c>
      <c r="AQ323" s="27">
        <f t="shared" si="339"/>
        <v>0</v>
      </c>
      <c r="AR323" s="25">
        <f t="shared" si="340"/>
        <v>0</v>
      </c>
      <c r="AS323" s="25">
        <f t="shared" si="341"/>
        <v>0</v>
      </c>
      <c r="AT323" s="25">
        <f t="shared" si="342"/>
        <v>0</v>
      </c>
      <c r="AU323" s="29">
        <f t="shared" si="399"/>
        <v>0</v>
      </c>
      <c r="AV323" s="27">
        <f t="shared" si="369"/>
        <v>0</v>
      </c>
      <c r="AW323" s="27">
        <f t="shared" si="370"/>
        <v>0</v>
      </c>
      <c r="AX323" s="27">
        <f t="shared" si="371"/>
        <v>0</v>
      </c>
      <c r="AY323" s="27">
        <f t="shared" si="372"/>
        <v>0</v>
      </c>
      <c r="BH323" s="2">
        <f t="shared" si="373"/>
        <v>0</v>
      </c>
      <c r="BI323" s="298" t="str">
        <f t="shared" si="374"/>
        <v/>
      </c>
      <c r="BJ323" s="298" t="str">
        <f t="shared" si="343"/>
        <v/>
      </c>
      <c r="BQ323" s="4">
        <f t="shared" si="375"/>
        <v>45427</v>
      </c>
      <c r="BR323" s="112">
        <f t="shared" si="376"/>
        <v>0</v>
      </c>
      <c r="BS323" s="112">
        <f t="shared" si="377"/>
        <v>0</v>
      </c>
      <c r="BT323" s="112">
        <f t="shared" si="378"/>
        <v>0</v>
      </c>
      <c r="BU323" s="112">
        <f t="shared" si="379"/>
        <v>0</v>
      </c>
      <c r="BV323" s="112">
        <f t="shared" si="380"/>
        <v>0</v>
      </c>
      <c r="CI323" s="4">
        <f t="shared" si="381"/>
        <v>45427</v>
      </c>
      <c r="CJ323" s="50">
        <f ca="1">IF($BH323=0,IF($CO323="",CJ322+R323,IF('283'!$K$251=1,VLOOKUP($CO323,PerStBal,2)+R323,IF('283'!$K$253=1,(VLOOKUP($CO323,PerPortion,2)*VLOOKUP($CO323,PerStBal,6))+R323,GL!BS323))),0)</f>
        <v>0</v>
      </c>
      <c r="CK323" s="425">
        <f ca="1">IF($BH323=0,IF($CO323="",CK322+T323,IF('283'!$K$251=1,IF(mname2&lt;&gt;"",VLOOKUP($CO323,PerStBal,3)+T323,0),IF('283'!$K$253=1,(VLOOKUP($CO323,PerPortion,3)*VLOOKUP($CO323,PerStBal,6))+T323,GL!BT323))),0)</f>
        <v>0</v>
      </c>
      <c r="CL323" s="425">
        <f ca="1">IF($BH323=0,IF($CO323="",CL322+V323,IF('283'!$K$251=1,IF(mname3&lt;&gt;"",VLOOKUP($CO323,PerStBal,4)+V323,0),IF('283'!$K$253=1,(VLOOKUP($CO323,PerPortion,4)*VLOOKUP($CO323,PerStBal,6))+V323,GL!BU323))),0)</f>
        <v>0</v>
      </c>
      <c r="CM323" s="425">
        <f ca="1">IF($BH323=0,IF($CO323="",CM322+X323,IF('283'!$K$251=1,IF(mname4&lt;&gt;"",VLOOKUP($CO323,PerStBal,5)+X323,0),IF('283'!$K$253=1,(VLOOKUP($CO323,PerPortion,5)*VLOOKUP($CO323,PerStBal,6))+X323,GL!BV323))),0)</f>
        <v>0</v>
      </c>
      <c r="CN323" s="50">
        <f t="shared" ca="1" si="382"/>
        <v>0</v>
      </c>
      <c r="CO323" s="4" t="str">
        <f t="shared" ca="1" si="383"/>
        <v/>
      </c>
      <c r="CP323" s="377">
        <f t="shared" si="344"/>
        <v>0</v>
      </c>
      <c r="DI323" s="4">
        <f t="shared" si="384"/>
        <v>45427</v>
      </c>
      <c r="DJ323" s="112">
        <f t="shared" ca="1" si="385"/>
        <v>0</v>
      </c>
      <c r="DK323" s="112">
        <f t="shared" si="386"/>
        <v>0</v>
      </c>
      <c r="DL323" s="4">
        <f t="shared" si="387"/>
        <v>45427</v>
      </c>
      <c r="DM323" s="112">
        <f t="shared" ca="1" si="388"/>
        <v>0</v>
      </c>
      <c r="DN323" s="112">
        <f t="shared" si="389"/>
        <v>0</v>
      </c>
      <c r="DO323" s="4">
        <f t="shared" si="390"/>
        <v>45427</v>
      </c>
      <c r="DP323" s="112">
        <f t="shared" ca="1" si="391"/>
        <v>0</v>
      </c>
      <c r="DQ323" s="112">
        <f t="shared" si="392"/>
        <v>0</v>
      </c>
      <c r="DR323" s="4">
        <f t="shared" si="393"/>
        <v>45427</v>
      </c>
      <c r="DS323" s="112">
        <f t="shared" ca="1" si="394"/>
        <v>0</v>
      </c>
      <c r="DT323" s="112">
        <f t="shared" si="395"/>
        <v>0</v>
      </c>
      <c r="DU323" s="4">
        <f t="shared" si="396"/>
        <v>45427</v>
      </c>
      <c r="DV323" s="112">
        <f t="shared" si="397"/>
        <v>0</v>
      </c>
      <c r="DW323" s="112">
        <f t="shared" si="398"/>
        <v>0</v>
      </c>
    </row>
    <row r="324" spans="4:127" x14ac:dyDescent="0.25">
      <c r="D324" s="137">
        <f t="shared" ca="1" si="401"/>
        <v>0</v>
      </c>
      <c r="E324" s="138">
        <f t="shared" ca="1" si="401"/>
        <v>0</v>
      </c>
      <c r="F324" s="138">
        <f t="shared" ca="1" si="401"/>
        <v>0</v>
      </c>
      <c r="G324" s="139">
        <f t="shared" ca="1" si="401"/>
        <v>0</v>
      </c>
      <c r="K324" s="137">
        <f t="shared" ca="1" si="402"/>
        <v>0</v>
      </c>
      <c r="L324" s="138">
        <f t="shared" ca="1" si="402"/>
        <v>0</v>
      </c>
      <c r="M324" s="138">
        <f t="shared" ca="1" si="402"/>
        <v>0</v>
      </c>
      <c r="N324" s="138">
        <f t="shared" ca="1" si="402"/>
        <v>0</v>
      </c>
      <c r="O324" s="139">
        <f t="shared" ca="1" si="402"/>
        <v>0</v>
      </c>
      <c r="Q324" s="4">
        <f t="shared" si="345"/>
        <v>45428</v>
      </c>
      <c r="R324" s="24">
        <f t="shared" si="346"/>
        <v>0</v>
      </c>
      <c r="S324" s="25">
        <f t="shared" si="347"/>
        <v>0</v>
      </c>
      <c r="T324" s="24">
        <f t="shared" si="348"/>
        <v>0</v>
      </c>
      <c r="U324" s="25">
        <f t="shared" si="349"/>
        <v>0</v>
      </c>
      <c r="V324" s="24">
        <f t="shared" si="350"/>
        <v>0</v>
      </c>
      <c r="W324" s="25">
        <f t="shared" si="351"/>
        <v>0</v>
      </c>
      <c r="X324" s="24">
        <f t="shared" si="352"/>
        <v>0</v>
      </c>
      <c r="Y324" s="26">
        <f t="shared" si="353"/>
        <v>0</v>
      </c>
      <c r="Z324" s="27">
        <f t="shared" si="354"/>
        <v>0</v>
      </c>
      <c r="AA324" s="28">
        <f t="shared" si="355"/>
        <v>45428</v>
      </c>
      <c r="AB324" s="24">
        <f t="shared" si="356"/>
        <v>0</v>
      </c>
      <c r="AC324" s="25">
        <f t="shared" si="357"/>
        <v>0</v>
      </c>
      <c r="AD324" s="28">
        <f t="shared" si="358"/>
        <v>45428</v>
      </c>
      <c r="AE324" s="24">
        <f t="shared" si="359"/>
        <v>0</v>
      </c>
      <c r="AF324" s="25">
        <f t="shared" si="360"/>
        <v>0</v>
      </c>
      <c r="AG324" s="28">
        <f t="shared" si="361"/>
        <v>45428</v>
      </c>
      <c r="AH324" s="24">
        <f t="shared" si="362"/>
        <v>0</v>
      </c>
      <c r="AI324" s="25">
        <f t="shared" si="363"/>
        <v>0</v>
      </c>
      <c r="AJ324" s="28">
        <f t="shared" si="364"/>
        <v>45428</v>
      </c>
      <c r="AK324" s="24">
        <f t="shared" si="365"/>
        <v>0</v>
      </c>
      <c r="AL324" s="25">
        <f t="shared" si="366"/>
        <v>0</v>
      </c>
      <c r="AM324" s="29">
        <f t="shared" si="367"/>
        <v>0</v>
      </c>
      <c r="AN324" s="28">
        <f t="shared" si="368"/>
        <v>45428</v>
      </c>
      <c r="AO324" s="373">
        <f t="shared" ref="AO324:AO369" si="403">IF(AND(UseSeg="Yes",AP324=0),0,SUM(AB324,AE324,AH324,AK324))</f>
        <v>0</v>
      </c>
      <c r="AP324" s="374">
        <f t="shared" ref="AP324:AP369" si="404">SUM(AC324,AF324,AI324,AL324:AM324)</f>
        <v>0</v>
      </c>
      <c r="AQ324" s="27">
        <f t="shared" ref="AQ324:AQ369" si="405">AB324+AC324</f>
        <v>0</v>
      </c>
      <c r="AR324" s="25">
        <f t="shared" ref="AR324:AR369" si="406">AE324+AF324</f>
        <v>0</v>
      </c>
      <c r="AS324" s="25">
        <f t="shared" ref="AS324:AS369" si="407">AH324+AI324</f>
        <v>0</v>
      </c>
      <c r="AT324" s="25">
        <f t="shared" ref="AT324:AT369" si="408">AK324+AL324</f>
        <v>0</v>
      </c>
      <c r="AU324" s="29">
        <f t="shared" si="399"/>
        <v>0</v>
      </c>
      <c r="AV324" s="27">
        <f t="shared" si="369"/>
        <v>0</v>
      </c>
      <c r="AW324" s="27">
        <f t="shared" si="370"/>
        <v>0</v>
      </c>
      <c r="AX324" s="27">
        <f t="shared" si="371"/>
        <v>0</v>
      </c>
      <c r="AY324" s="27">
        <f t="shared" si="372"/>
        <v>0</v>
      </c>
      <c r="BH324" s="2">
        <f t="shared" si="373"/>
        <v>0</v>
      </c>
      <c r="BI324" s="298" t="str">
        <f t="shared" si="374"/>
        <v/>
      </c>
      <c r="BJ324" s="298" t="str">
        <f t="shared" ref="BJ324:BJ368" si="409">IF(UseSeg="Yes",IF(AND(BH324=1,ROUND(AP325,1)&gt;0),AN324,""),"")</f>
        <v/>
      </c>
      <c r="BQ324" s="4">
        <f t="shared" si="375"/>
        <v>45428</v>
      </c>
      <c r="BR324" s="112">
        <f t="shared" si="376"/>
        <v>0</v>
      </c>
      <c r="BS324" s="112">
        <f t="shared" si="377"/>
        <v>0</v>
      </c>
      <c r="BT324" s="112">
        <f t="shared" si="378"/>
        <v>0</v>
      </c>
      <c r="BU324" s="112">
        <f t="shared" si="379"/>
        <v>0</v>
      </c>
      <c r="BV324" s="112">
        <f t="shared" si="380"/>
        <v>0</v>
      </c>
      <c r="CI324" s="4">
        <f t="shared" si="381"/>
        <v>45428</v>
      </c>
      <c r="CJ324" s="50">
        <f ca="1">IF($BH324=0,IF($CO324="",CJ323+R324,IF('283'!$K$251=1,VLOOKUP($CO324,PerStBal,2)+R324,IF('283'!$K$253=1,(VLOOKUP($CO324,PerPortion,2)*VLOOKUP($CO324,PerStBal,6))+R324,GL!BS324))),0)</f>
        <v>0</v>
      </c>
      <c r="CK324" s="425">
        <f ca="1">IF($BH324=0,IF($CO324="",CK323+T324,IF('283'!$K$251=1,IF(mname2&lt;&gt;"",VLOOKUP($CO324,PerStBal,3)+T324,0),IF('283'!$K$253=1,(VLOOKUP($CO324,PerPortion,3)*VLOOKUP($CO324,PerStBal,6))+T324,GL!BT324))),0)</f>
        <v>0</v>
      </c>
      <c r="CL324" s="425">
        <f ca="1">IF($BH324=0,IF($CO324="",CL323+V324,IF('283'!$K$251=1,IF(mname3&lt;&gt;"",VLOOKUP($CO324,PerStBal,4)+V324,0),IF('283'!$K$253=1,(VLOOKUP($CO324,PerPortion,4)*VLOOKUP($CO324,PerStBal,6))+V324,GL!BU324))),0)</f>
        <v>0</v>
      </c>
      <c r="CM324" s="425">
        <f ca="1">IF($BH324=0,IF($CO324="",CM323+X324,IF('283'!$K$251=1,IF(mname4&lt;&gt;"",VLOOKUP($CO324,PerStBal,5)+X324,0),IF('283'!$K$253=1,(VLOOKUP($CO324,PerPortion,5)*VLOOKUP($CO324,PerStBal,6))+X324,GL!BV324))),0)</f>
        <v>0</v>
      </c>
      <c r="CN324" s="50">
        <f t="shared" ca="1" si="382"/>
        <v>0</v>
      </c>
      <c r="CO324" s="4" t="str">
        <f t="shared" ca="1" si="383"/>
        <v/>
      </c>
      <c r="CP324" s="377">
        <f t="shared" ref="CP324:CP369" si="410">IF(AND(UseSeg="Yes",AP324=0),0,SUM(CJ324:CM324))</f>
        <v>0</v>
      </c>
      <c r="DI324" s="4">
        <f t="shared" si="384"/>
        <v>45428</v>
      </c>
      <c r="DJ324" s="112">
        <f t="shared" ca="1" si="385"/>
        <v>0</v>
      </c>
      <c r="DK324" s="112">
        <f t="shared" si="386"/>
        <v>0</v>
      </c>
      <c r="DL324" s="4">
        <f t="shared" si="387"/>
        <v>45428</v>
      </c>
      <c r="DM324" s="112">
        <f t="shared" ca="1" si="388"/>
        <v>0</v>
      </c>
      <c r="DN324" s="112">
        <f t="shared" si="389"/>
        <v>0</v>
      </c>
      <c r="DO324" s="4">
        <f t="shared" si="390"/>
        <v>45428</v>
      </c>
      <c r="DP324" s="112">
        <f t="shared" ca="1" si="391"/>
        <v>0</v>
      </c>
      <c r="DQ324" s="112">
        <f t="shared" si="392"/>
        <v>0</v>
      </c>
      <c r="DR324" s="4">
        <f t="shared" si="393"/>
        <v>45428</v>
      </c>
      <c r="DS324" s="112">
        <f t="shared" ca="1" si="394"/>
        <v>0</v>
      </c>
      <c r="DT324" s="112">
        <f t="shared" si="395"/>
        <v>0</v>
      </c>
      <c r="DU324" s="4">
        <f t="shared" si="396"/>
        <v>45428</v>
      </c>
      <c r="DV324" s="112">
        <f t="shared" si="397"/>
        <v>0</v>
      </c>
      <c r="DW324" s="112">
        <f t="shared" si="398"/>
        <v>0</v>
      </c>
    </row>
    <row r="325" spans="4:127" x14ac:dyDescent="0.25">
      <c r="Q325" s="4">
        <f t="shared" ref="Q325:Q369" si="411">Q324+1</f>
        <v>45429</v>
      </c>
      <c r="R325" s="24">
        <f t="shared" ref="R325:R369" si="412">SUMIF($C$85:$C$98,Q325,$D$85:$D$98)-SUMIF($C$5:$C$84,Q325,$D$5:$D$84)-IF(AND($Q325&gt;=$D$101,$Q325&lt;$D$104,$D$100&lt;&gt;0),$D$100/($D$104-$D$101),0)</f>
        <v>0</v>
      </c>
      <c r="S325" s="25">
        <f t="shared" ref="S325:S369" si="413">SUMIF($J$5:$J$99,Q325,$K$5:$K$99)+IF(AND($Q325&gt;=$K$105,$Q325&lt;$K$102,$K$100&lt;&gt;0),$K$100/($K$102-$K$105),0)</f>
        <v>0</v>
      </c>
      <c r="T325" s="24">
        <f t="shared" ref="T325:T369" si="414">SUMIF($C$85:$C$98,Q325,$E$85:$E$98)-SUMIF($C$5:$C$84,Q325,$E$5:$E$84)-IF(AND($Q325&gt;=$E$101,$Q325&lt;$E$104,$E$100&lt;&gt;0),$E$100/($E$104-$E$101),0)</f>
        <v>0</v>
      </c>
      <c r="U325" s="25">
        <f t="shared" ref="U325:U369" si="415">SUMIF($J$5:$J$99,Q325,$L$5:$L$99)+IF(AND($Q325&gt;=$L$105,$Q325&lt;$L$102,$L$100&lt;&gt;0),$L$100/($L$102-$L$105),0)</f>
        <v>0</v>
      </c>
      <c r="V325" s="24">
        <f t="shared" ref="V325:V369" si="416">SUMIF($C$85:$C$98,$Q325,$F$85:$F$98)-SUMIF($C$5:$C$84,$Q325,$F$5:$F$84)-IF(AND($Q325&gt;=$F$101,$Q325&lt;$F$104,$F$100&lt;&gt;0),$F$100/($F$104-$F$101),0)</f>
        <v>0</v>
      </c>
      <c r="W325" s="25">
        <f t="shared" ref="W325:W369" si="417">SUMIF($J$5:$J$99,Q325,$M$5:$M$99)+IF(AND($Q325&gt;=$M$105,$Q325&lt;$M$102,$M$100&lt;&gt;0),$M$100/($M$102-$M$105),0)</f>
        <v>0</v>
      </c>
      <c r="X325" s="24">
        <f t="shared" ref="X325:X369" si="418">SUMIF($C$85:$C$98,$Q325,$G$85:$G$98)-SUMIF($C$5:$C$84,$Q325,$G$5:$G$84)-IF(AND($Q325&gt;=$G$101,$Q325&lt;$G$104,$G$100&lt;&gt;0),$G$100/($G$104-$G$101),0)</f>
        <v>0</v>
      </c>
      <c r="Y325" s="26">
        <f t="shared" ref="Y325:Y369" si="419">SUMIF($J$5:$J$99,Q325,$N$5:$N$99)+IF(AND($Q325&gt;=$N$105,$Q325&lt;$N$102,$N$100&lt;&gt;0),$N$100/($N$102-$N$105),0)</f>
        <v>0</v>
      </c>
      <c r="Z325" s="27">
        <f t="shared" ref="Z325:Z369" si="420">SUMIF($J$5:$J$99,$Q325,$O$5:$O$99)</f>
        <v>0</v>
      </c>
      <c r="AA325" s="28">
        <f t="shared" ref="AA325:AA369" si="421">Q325</f>
        <v>45429</v>
      </c>
      <c r="AB325" s="24">
        <f t="shared" ref="AB325:AB368" si="422">AB324+R325</f>
        <v>0</v>
      </c>
      <c r="AC325" s="25">
        <f t="shared" ref="AC325:AC368" si="423">AC324+S325</f>
        <v>0</v>
      </c>
      <c r="AD325" s="28">
        <f t="shared" ref="AD325:AD369" si="424">AA325</f>
        <v>45429</v>
      </c>
      <c r="AE325" s="24">
        <f t="shared" ref="AE325:AE368" si="425">AE324+T325</f>
        <v>0</v>
      </c>
      <c r="AF325" s="25">
        <f t="shared" ref="AF325:AF368" si="426">AF324+U325</f>
        <v>0</v>
      </c>
      <c r="AG325" s="28">
        <f t="shared" ref="AG325:AG369" si="427">AD325</f>
        <v>45429</v>
      </c>
      <c r="AH325" s="24">
        <f t="shared" ref="AH325:AH368" si="428">AH324+V325</f>
        <v>0</v>
      </c>
      <c r="AI325" s="25">
        <f t="shared" ref="AI325:AI368" si="429">AI324+W325</f>
        <v>0</v>
      </c>
      <c r="AJ325" s="28">
        <f t="shared" ref="AJ325:AJ369" si="430">AG325</f>
        <v>45429</v>
      </c>
      <c r="AK325" s="24">
        <f t="shared" ref="AK325:AK368" si="431">AK324+X325</f>
        <v>0</v>
      </c>
      <c r="AL325" s="25">
        <f t="shared" ref="AL325:AL368" si="432">AL324+Y325</f>
        <v>0</v>
      </c>
      <c r="AM325" s="29">
        <f t="shared" ref="AM325:AM368" si="433">AM324+Z325</f>
        <v>0</v>
      </c>
      <c r="AN325" s="28">
        <f t="shared" ref="AN325:AN369" si="434">AA325</f>
        <v>45429</v>
      </c>
      <c r="AO325" s="373">
        <f t="shared" si="403"/>
        <v>0</v>
      </c>
      <c r="AP325" s="374">
        <f t="shared" si="404"/>
        <v>0</v>
      </c>
      <c r="AQ325" s="27">
        <f t="shared" si="405"/>
        <v>0</v>
      </c>
      <c r="AR325" s="25">
        <f t="shared" si="406"/>
        <v>0</v>
      </c>
      <c r="AS325" s="25">
        <f t="shared" si="407"/>
        <v>0</v>
      </c>
      <c r="AT325" s="25">
        <f t="shared" si="408"/>
        <v>0</v>
      </c>
      <c r="AU325" s="29">
        <f t="shared" si="399"/>
        <v>0</v>
      </c>
      <c r="AV325" s="27">
        <f t="shared" ref="AV325:AV368" si="435">IF(VALUE(AC325)&gt;0,AB325,0)</f>
        <v>0</v>
      </c>
      <c r="AW325" s="27">
        <f t="shared" ref="AW325:AW369" si="436">IF(VALUE(AF325)&gt;0,AE325,0)</f>
        <v>0</v>
      </c>
      <c r="AX325" s="27">
        <f t="shared" ref="AX325:AX369" si="437">IF(VALUE(AI325)&gt;0,AH325,0)</f>
        <v>0</v>
      </c>
      <c r="AY325" s="27">
        <f t="shared" ref="AY325:AY369" si="438">IF(VALUE(AL325)&gt;0,AK325,0)</f>
        <v>0</v>
      </c>
      <c r="BH325" s="2">
        <f t="shared" ref="BH325:BH369" si="439">IF(AND(BH324=0,BI325&lt;&gt;""),1,IF(AND(BH324=1,BJ324=""),1,0))</f>
        <v>0</v>
      </c>
      <c r="BI325" s="298" t="str">
        <f t="shared" ref="BI325:BI368" si="440">IF(UseSeg="Yes",IF(AND(ROUND(AP324,1)&gt;0,ROUND(AP325,1)&lt;1),AN325,""),"")</f>
        <v/>
      </c>
      <c r="BJ325" s="298" t="str">
        <f t="shared" si="409"/>
        <v/>
      </c>
      <c r="BQ325" s="4">
        <f t="shared" ref="BQ325:BQ369" si="441">AN325</f>
        <v>45429</v>
      </c>
      <c r="BR325" s="112">
        <f t="shared" ref="BR325:BR368" si="442">SUM(AB325,AE325,AH325,AK325)</f>
        <v>0</v>
      </c>
      <c r="BS325" s="112">
        <f t="shared" ref="BS325:BS369" si="443">AB325</f>
        <v>0</v>
      </c>
      <c r="BT325" s="112">
        <f t="shared" ref="BT325:BT369" si="444">AE325</f>
        <v>0</v>
      </c>
      <c r="BU325" s="112">
        <f t="shared" ref="BU325:BU369" si="445">AH325</f>
        <v>0</v>
      </c>
      <c r="BV325" s="112">
        <f t="shared" ref="BV325:BV369" si="446">AK325</f>
        <v>0</v>
      </c>
      <c r="CI325" s="4">
        <f t="shared" ref="CI325:CI369" si="447">BQ325</f>
        <v>45429</v>
      </c>
      <c r="CJ325" s="50">
        <f ca="1">IF($BH325=0,IF($CO325="",CJ324+R325,IF('283'!$K$251=1,VLOOKUP($CO325,PerStBal,2)+R325,IF('283'!$K$253=1,(VLOOKUP($CO325,PerPortion,2)*VLOOKUP($CO325,PerStBal,6))+R325,GL!BS325))),0)</f>
        <v>0</v>
      </c>
      <c r="CK325" s="425">
        <f ca="1">IF($BH325=0,IF($CO325="",CK324+T325,IF('283'!$K$251=1,IF(mname2&lt;&gt;"",VLOOKUP($CO325,PerStBal,3)+T325,0),IF('283'!$K$253=1,(VLOOKUP($CO325,PerPortion,3)*VLOOKUP($CO325,PerStBal,6))+T325,GL!BT325))),0)</f>
        <v>0</v>
      </c>
      <c r="CL325" s="425">
        <f ca="1">IF($BH325=0,IF($CO325="",CL324+V325,IF('283'!$K$251=1,IF(mname3&lt;&gt;"",VLOOKUP($CO325,PerStBal,4)+V325,0),IF('283'!$K$253=1,(VLOOKUP($CO325,PerPortion,4)*VLOOKUP($CO325,PerStBal,6))+V325,GL!BU325))),0)</f>
        <v>0</v>
      </c>
      <c r="CM325" s="425">
        <f ca="1">IF($BH325=0,IF($CO325="",CM324+X325,IF('283'!$K$251=1,IF(mname4&lt;&gt;"",VLOOKUP($CO325,PerStBal,5)+X325,0),IF('283'!$K$253=1,(VLOOKUP($CO325,PerPortion,5)*VLOOKUP($CO325,PerStBal,6))+X325,GL!BV325))),0)</f>
        <v>0</v>
      </c>
      <c r="CN325" s="50">
        <f t="shared" ref="CN325:CN369" ca="1" si="448">IFERROR(VLOOKUP(CO325,PerStBal,6),0)</f>
        <v>0</v>
      </c>
      <c r="CO325" s="4" t="str">
        <f t="shared" ref="CO325:CO369" ca="1" si="449">IFERROR(VLOOKUP(CI325,PerStBal,1,FALSE),"")</f>
        <v/>
      </c>
      <c r="CP325" s="377">
        <f t="shared" si="410"/>
        <v>0</v>
      </c>
      <c r="DI325" s="4">
        <f t="shared" ref="DI325:DI369" si="450">CI325</f>
        <v>45429</v>
      </c>
      <c r="DJ325" s="112">
        <f t="shared" ref="DJ325:DJ369" ca="1" si="451">CJ325</f>
        <v>0</v>
      </c>
      <c r="DK325" s="112">
        <f t="shared" ref="DK325:DK369" si="452">AC325</f>
        <v>0</v>
      </c>
      <c r="DL325" s="4">
        <f t="shared" ref="DL325:DL369" si="453">DI325</f>
        <v>45429</v>
      </c>
      <c r="DM325" s="112">
        <f t="shared" ref="DM325:DM369" ca="1" si="454">CK325</f>
        <v>0</v>
      </c>
      <c r="DN325" s="112">
        <f t="shared" ref="DN325:DN369" si="455">AF325</f>
        <v>0</v>
      </c>
      <c r="DO325" s="4">
        <f t="shared" ref="DO325:DO369" si="456">DL325</f>
        <v>45429</v>
      </c>
      <c r="DP325" s="112">
        <f t="shared" ref="DP325:DP369" ca="1" si="457">CL325</f>
        <v>0</v>
      </c>
      <c r="DQ325" s="112">
        <f t="shared" ref="DQ325:DQ369" si="458">AI325</f>
        <v>0</v>
      </c>
      <c r="DR325" s="4">
        <f t="shared" ref="DR325:DR369" si="459">DO325</f>
        <v>45429</v>
      </c>
      <c r="DS325" s="112">
        <f t="shared" ref="DS325:DS369" ca="1" si="460">CM325</f>
        <v>0</v>
      </c>
      <c r="DT325" s="112">
        <f t="shared" ref="DT325:DT369" si="461">AL325</f>
        <v>0</v>
      </c>
      <c r="DU325" s="4">
        <f t="shared" ref="DU325:DU369" si="462">DR325</f>
        <v>45429</v>
      </c>
      <c r="DV325" s="112">
        <f t="shared" ref="DV325:DV369" si="463">CP325</f>
        <v>0</v>
      </c>
      <c r="DW325" s="112">
        <f t="shared" ref="DW325:DW369" si="464">AP325</f>
        <v>0</v>
      </c>
    </row>
    <row r="326" spans="4:127" x14ac:dyDescent="0.25">
      <c r="Q326" s="4">
        <f t="shared" si="411"/>
        <v>45430</v>
      </c>
      <c r="R326" s="24">
        <f t="shared" si="412"/>
        <v>0</v>
      </c>
      <c r="S326" s="25">
        <f t="shared" si="413"/>
        <v>0</v>
      </c>
      <c r="T326" s="24">
        <f t="shared" si="414"/>
        <v>0</v>
      </c>
      <c r="U326" s="25">
        <f t="shared" si="415"/>
        <v>0</v>
      </c>
      <c r="V326" s="24">
        <f t="shared" si="416"/>
        <v>0</v>
      </c>
      <c r="W326" s="25">
        <f t="shared" si="417"/>
        <v>0</v>
      </c>
      <c r="X326" s="24">
        <f t="shared" si="418"/>
        <v>0</v>
      </c>
      <c r="Y326" s="26">
        <f t="shared" si="419"/>
        <v>0</v>
      </c>
      <c r="Z326" s="27">
        <f t="shared" si="420"/>
        <v>0</v>
      </c>
      <c r="AA326" s="28">
        <f t="shared" si="421"/>
        <v>45430</v>
      </c>
      <c r="AB326" s="24">
        <f t="shared" si="422"/>
        <v>0</v>
      </c>
      <c r="AC326" s="25">
        <f t="shared" si="423"/>
        <v>0</v>
      </c>
      <c r="AD326" s="28">
        <f t="shared" si="424"/>
        <v>45430</v>
      </c>
      <c r="AE326" s="24">
        <f t="shared" si="425"/>
        <v>0</v>
      </c>
      <c r="AF326" s="25">
        <f t="shared" si="426"/>
        <v>0</v>
      </c>
      <c r="AG326" s="28">
        <f t="shared" si="427"/>
        <v>45430</v>
      </c>
      <c r="AH326" s="24">
        <f t="shared" si="428"/>
        <v>0</v>
      </c>
      <c r="AI326" s="25">
        <f t="shared" si="429"/>
        <v>0</v>
      </c>
      <c r="AJ326" s="28">
        <f t="shared" si="430"/>
        <v>45430</v>
      </c>
      <c r="AK326" s="24">
        <f t="shared" si="431"/>
        <v>0</v>
      </c>
      <c r="AL326" s="25">
        <f t="shared" si="432"/>
        <v>0</v>
      </c>
      <c r="AM326" s="29">
        <f t="shared" si="433"/>
        <v>0</v>
      </c>
      <c r="AN326" s="28">
        <f t="shared" si="434"/>
        <v>45430</v>
      </c>
      <c r="AO326" s="373">
        <f t="shared" si="403"/>
        <v>0</v>
      </c>
      <c r="AP326" s="374">
        <f t="shared" si="404"/>
        <v>0</v>
      </c>
      <c r="AQ326" s="27">
        <f t="shared" si="405"/>
        <v>0</v>
      </c>
      <c r="AR326" s="25">
        <f t="shared" si="406"/>
        <v>0</v>
      </c>
      <c r="AS326" s="25">
        <f t="shared" si="407"/>
        <v>0</v>
      </c>
      <c r="AT326" s="25">
        <f t="shared" si="408"/>
        <v>0</v>
      </c>
      <c r="AU326" s="29">
        <f t="shared" ref="AU326:AU369" si="465">AM326</f>
        <v>0</v>
      </c>
      <c r="AV326" s="27">
        <f t="shared" si="435"/>
        <v>0</v>
      </c>
      <c r="AW326" s="27">
        <f t="shared" si="436"/>
        <v>0</v>
      </c>
      <c r="AX326" s="27">
        <f t="shared" si="437"/>
        <v>0</v>
      </c>
      <c r="AY326" s="27">
        <f t="shared" si="438"/>
        <v>0</v>
      </c>
      <c r="BH326" s="2">
        <f t="shared" si="439"/>
        <v>0</v>
      </c>
      <c r="BI326" s="298" t="str">
        <f t="shared" si="440"/>
        <v/>
      </c>
      <c r="BJ326" s="298" t="str">
        <f t="shared" si="409"/>
        <v/>
      </c>
      <c r="BQ326" s="4">
        <f t="shared" si="441"/>
        <v>45430</v>
      </c>
      <c r="BR326" s="112">
        <f t="shared" si="442"/>
        <v>0</v>
      </c>
      <c r="BS326" s="112">
        <f t="shared" si="443"/>
        <v>0</v>
      </c>
      <c r="BT326" s="112">
        <f t="shared" si="444"/>
        <v>0</v>
      </c>
      <c r="BU326" s="112">
        <f t="shared" si="445"/>
        <v>0</v>
      </c>
      <c r="BV326" s="112">
        <f t="shared" si="446"/>
        <v>0</v>
      </c>
      <c r="CI326" s="4">
        <f t="shared" si="447"/>
        <v>45430</v>
      </c>
      <c r="CJ326" s="50">
        <f ca="1">IF($BH326=0,IF($CO326="",CJ325+R326,IF('283'!$K$251=1,VLOOKUP($CO326,PerStBal,2)+R326,IF('283'!$K$253=1,(VLOOKUP($CO326,PerPortion,2)*VLOOKUP($CO326,PerStBal,6))+R326,GL!BS326))),0)</f>
        <v>0</v>
      </c>
      <c r="CK326" s="425">
        <f ca="1">IF($BH326=0,IF($CO326="",CK325+T326,IF('283'!$K$251=1,IF(mname2&lt;&gt;"",VLOOKUP($CO326,PerStBal,3)+T326,0),IF('283'!$K$253=1,(VLOOKUP($CO326,PerPortion,3)*VLOOKUP($CO326,PerStBal,6))+T326,GL!BT326))),0)</f>
        <v>0</v>
      </c>
      <c r="CL326" s="425">
        <f ca="1">IF($BH326=0,IF($CO326="",CL325+V326,IF('283'!$K$251=1,IF(mname3&lt;&gt;"",VLOOKUP($CO326,PerStBal,4)+V326,0),IF('283'!$K$253=1,(VLOOKUP($CO326,PerPortion,4)*VLOOKUP($CO326,PerStBal,6))+V326,GL!BU326))),0)</f>
        <v>0</v>
      </c>
      <c r="CM326" s="425">
        <f ca="1">IF($BH326=0,IF($CO326="",CM325+X326,IF('283'!$K$251=1,IF(mname4&lt;&gt;"",VLOOKUP($CO326,PerStBal,5)+X326,0),IF('283'!$K$253=1,(VLOOKUP($CO326,PerPortion,5)*VLOOKUP($CO326,PerStBal,6))+X326,GL!BV326))),0)</f>
        <v>0</v>
      </c>
      <c r="CN326" s="50">
        <f t="shared" ca="1" si="448"/>
        <v>0</v>
      </c>
      <c r="CO326" s="4" t="str">
        <f t="shared" ca="1" si="449"/>
        <v/>
      </c>
      <c r="CP326" s="377">
        <f t="shared" si="410"/>
        <v>0</v>
      </c>
      <c r="DI326" s="4">
        <f t="shared" si="450"/>
        <v>45430</v>
      </c>
      <c r="DJ326" s="112">
        <f t="shared" ca="1" si="451"/>
        <v>0</v>
      </c>
      <c r="DK326" s="112">
        <f t="shared" si="452"/>
        <v>0</v>
      </c>
      <c r="DL326" s="4">
        <f t="shared" si="453"/>
        <v>45430</v>
      </c>
      <c r="DM326" s="112">
        <f t="shared" ca="1" si="454"/>
        <v>0</v>
      </c>
      <c r="DN326" s="112">
        <f t="shared" si="455"/>
        <v>0</v>
      </c>
      <c r="DO326" s="4">
        <f t="shared" si="456"/>
        <v>45430</v>
      </c>
      <c r="DP326" s="112">
        <f t="shared" ca="1" si="457"/>
        <v>0</v>
      </c>
      <c r="DQ326" s="112">
        <f t="shared" si="458"/>
        <v>0</v>
      </c>
      <c r="DR326" s="4">
        <f t="shared" si="459"/>
        <v>45430</v>
      </c>
      <c r="DS326" s="112">
        <f t="shared" ca="1" si="460"/>
        <v>0</v>
      </c>
      <c r="DT326" s="112">
        <f t="shared" si="461"/>
        <v>0</v>
      </c>
      <c r="DU326" s="4">
        <f t="shared" si="462"/>
        <v>45430</v>
      </c>
      <c r="DV326" s="112">
        <f t="shared" si="463"/>
        <v>0</v>
      </c>
      <c r="DW326" s="112">
        <f t="shared" si="464"/>
        <v>0</v>
      </c>
    </row>
    <row r="327" spans="4:127" x14ac:dyDescent="0.25">
      <c r="Q327" s="4">
        <f t="shared" si="411"/>
        <v>45431</v>
      </c>
      <c r="R327" s="24">
        <f t="shared" si="412"/>
        <v>0</v>
      </c>
      <c r="S327" s="25">
        <f t="shared" si="413"/>
        <v>0</v>
      </c>
      <c r="T327" s="24">
        <f t="shared" si="414"/>
        <v>0</v>
      </c>
      <c r="U327" s="25">
        <f t="shared" si="415"/>
        <v>0</v>
      </c>
      <c r="V327" s="24">
        <f t="shared" si="416"/>
        <v>0</v>
      </c>
      <c r="W327" s="25">
        <f t="shared" si="417"/>
        <v>0</v>
      </c>
      <c r="X327" s="24">
        <f t="shared" si="418"/>
        <v>0</v>
      </c>
      <c r="Y327" s="26">
        <f t="shared" si="419"/>
        <v>0</v>
      </c>
      <c r="Z327" s="27">
        <f t="shared" si="420"/>
        <v>0</v>
      </c>
      <c r="AA327" s="28">
        <f t="shared" si="421"/>
        <v>45431</v>
      </c>
      <c r="AB327" s="24">
        <f t="shared" si="422"/>
        <v>0</v>
      </c>
      <c r="AC327" s="25">
        <f t="shared" si="423"/>
        <v>0</v>
      </c>
      <c r="AD327" s="28">
        <f t="shared" si="424"/>
        <v>45431</v>
      </c>
      <c r="AE327" s="24">
        <f t="shared" si="425"/>
        <v>0</v>
      </c>
      <c r="AF327" s="25">
        <f t="shared" si="426"/>
        <v>0</v>
      </c>
      <c r="AG327" s="28">
        <f t="shared" si="427"/>
        <v>45431</v>
      </c>
      <c r="AH327" s="24">
        <f t="shared" si="428"/>
        <v>0</v>
      </c>
      <c r="AI327" s="25">
        <f t="shared" si="429"/>
        <v>0</v>
      </c>
      <c r="AJ327" s="28">
        <f t="shared" si="430"/>
        <v>45431</v>
      </c>
      <c r="AK327" s="24">
        <f t="shared" si="431"/>
        <v>0</v>
      </c>
      <c r="AL327" s="25">
        <f t="shared" si="432"/>
        <v>0</v>
      </c>
      <c r="AM327" s="29">
        <f t="shared" si="433"/>
        <v>0</v>
      </c>
      <c r="AN327" s="28">
        <f t="shared" si="434"/>
        <v>45431</v>
      </c>
      <c r="AO327" s="373">
        <f t="shared" si="403"/>
        <v>0</v>
      </c>
      <c r="AP327" s="374">
        <f t="shared" si="404"/>
        <v>0</v>
      </c>
      <c r="AQ327" s="27">
        <f t="shared" si="405"/>
        <v>0</v>
      </c>
      <c r="AR327" s="25">
        <f t="shared" si="406"/>
        <v>0</v>
      </c>
      <c r="AS327" s="25">
        <f t="shared" si="407"/>
        <v>0</v>
      </c>
      <c r="AT327" s="25">
        <f t="shared" si="408"/>
        <v>0</v>
      </c>
      <c r="AU327" s="29">
        <f t="shared" si="465"/>
        <v>0</v>
      </c>
      <c r="AV327" s="27">
        <f t="shared" si="435"/>
        <v>0</v>
      </c>
      <c r="AW327" s="27">
        <f t="shared" si="436"/>
        <v>0</v>
      </c>
      <c r="AX327" s="27">
        <f t="shared" si="437"/>
        <v>0</v>
      </c>
      <c r="AY327" s="27">
        <f t="shared" si="438"/>
        <v>0</v>
      </c>
      <c r="BH327" s="2">
        <f t="shared" si="439"/>
        <v>0</v>
      </c>
      <c r="BI327" s="298" t="str">
        <f t="shared" si="440"/>
        <v/>
      </c>
      <c r="BJ327" s="298" t="str">
        <f t="shared" si="409"/>
        <v/>
      </c>
      <c r="BQ327" s="4">
        <f t="shared" si="441"/>
        <v>45431</v>
      </c>
      <c r="BR327" s="112">
        <f t="shared" si="442"/>
        <v>0</v>
      </c>
      <c r="BS327" s="112">
        <f t="shared" si="443"/>
        <v>0</v>
      </c>
      <c r="BT327" s="112">
        <f t="shared" si="444"/>
        <v>0</v>
      </c>
      <c r="BU327" s="112">
        <f t="shared" si="445"/>
        <v>0</v>
      </c>
      <c r="BV327" s="112">
        <f t="shared" si="446"/>
        <v>0</v>
      </c>
      <c r="CI327" s="4">
        <f t="shared" si="447"/>
        <v>45431</v>
      </c>
      <c r="CJ327" s="50">
        <f ca="1">IF($BH327=0,IF($CO327="",CJ326+R327,IF('283'!$K$251=1,VLOOKUP($CO327,PerStBal,2)+R327,IF('283'!$K$253=1,(VLOOKUP($CO327,PerPortion,2)*VLOOKUP($CO327,PerStBal,6))+R327,GL!BS327))),0)</f>
        <v>0</v>
      </c>
      <c r="CK327" s="425">
        <f ca="1">IF($BH327=0,IF($CO327="",CK326+T327,IF('283'!$K$251=1,IF(mname2&lt;&gt;"",VLOOKUP($CO327,PerStBal,3)+T327,0),IF('283'!$K$253=1,(VLOOKUP($CO327,PerPortion,3)*VLOOKUP($CO327,PerStBal,6))+T327,GL!BT327))),0)</f>
        <v>0</v>
      </c>
      <c r="CL327" s="425">
        <f ca="1">IF($BH327=0,IF($CO327="",CL326+V327,IF('283'!$K$251=1,IF(mname3&lt;&gt;"",VLOOKUP($CO327,PerStBal,4)+V327,0),IF('283'!$K$253=1,(VLOOKUP($CO327,PerPortion,4)*VLOOKUP($CO327,PerStBal,6))+V327,GL!BU327))),0)</f>
        <v>0</v>
      </c>
      <c r="CM327" s="425">
        <f ca="1">IF($BH327=0,IF($CO327="",CM326+X327,IF('283'!$K$251=1,IF(mname4&lt;&gt;"",VLOOKUP($CO327,PerStBal,5)+X327,0),IF('283'!$K$253=1,(VLOOKUP($CO327,PerPortion,5)*VLOOKUP($CO327,PerStBal,6))+X327,GL!BV327))),0)</f>
        <v>0</v>
      </c>
      <c r="CN327" s="50">
        <f t="shared" ca="1" si="448"/>
        <v>0</v>
      </c>
      <c r="CO327" s="4" t="str">
        <f t="shared" ca="1" si="449"/>
        <v/>
      </c>
      <c r="CP327" s="377">
        <f t="shared" si="410"/>
        <v>0</v>
      </c>
      <c r="DI327" s="4">
        <f t="shared" si="450"/>
        <v>45431</v>
      </c>
      <c r="DJ327" s="112">
        <f t="shared" ca="1" si="451"/>
        <v>0</v>
      </c>
      <c r="DK327" s="112">
        <f t="shared" si="452"/>
        <v>0</v>
      </c>
      <c r="DL327" s="4">
        <f t="shared" si="453"/>
        <v>45431</v>
      </c>
      <c r="DM327" s="112">
        <f t="shared" ca="1" si="454"/>
        <v>0</v>
      </c>
      <c r="DN327" s="112">
        <f t="shared" si="455"/>
        <v>0</v>
      </c>
      <c r="DO327" s="4">
        <f t="shared" si="456"/>
        <v>45431</v>
      </c>
      <c r="DP327" s="112">
        <f t="shared" ca="1" si="457"/>
        <v>0</v>
      </c>
      <c r="DQ327" s="112">
        <f t="shared" si="458"/>
        <v>0</v>
      </c>
      <c r="DR327" s="4">
        <f t="shared" si="459"/>
        <v>45431</v>
      </c>
      <c r="DS327" s="112">
        <f t="shared" ca="1" si="460"/>
        <v>0</v>
      </c>
      <c r="DT327" s="112">
        <f t="shared" si="461"/>
        <v>0</v>
      </c>
      <c r="DU327" s="4">
        <f t="shared" si="462"/>
        <v>45431</v>
      </c>
      <c r="DV327" s="112">
        <f t="shared" si="463"/>
        <v>0</v>
      </c>
      <c r="DW327" s="112">
        <f t="shared" si="464"/>
        <v>0</v>
      </c>
    </row>
    <row r="328" spans="4:127" x14ac:dyDescent="0.25">
      <c r="Q328" s="4">
        <f t="shared" si="411"/>
        <v>45432</v>
      </c>
      <c r="R328" s="24">
        <f t="shared" si="412"/>
        <v>0</v>
      </c>
      <c r="S328" s="25">
        <f t="shared" si="413"/>
        <v>0</v>
      </c>
      <c r="T328" s="24">
        <f t="shared" si="414"/>
        <v>0</v>
      </c>
      <c r="U328" s="25">
        <f t="shared" si="415"/>
        <v>0</v>
      </c>
      <c r="V328" s="24">
        <f t="shared" si="416"/>
        <v>0</v>
      </c>
      <c r="W328" s="25">
        <f t="shared" si="417"/>
        <v>0</v>
      </c>
      <c r="X328" s="24">
        <f t="shared" si="418"/>
        <v>0</v>
      </c>
      <c r="Y328" s="26">
        <f t="shared" si="419"/>
        <v>0</v>
      </c>
      <c r="Z328" s="27">
        <f t="shared" si="420"/>
        <v>0</v>
      </c>
      <c r="AA328" s="28">
        <f t="shared" si="421"/>
        <v>45432</v>
      </c>
      <c r="AB328" s="24">
        <f t="shared" si="422"/>
        <v>0</v>
      </c>
      <c r="AC328" s="25">
        <f t="shared" si="423"/>
        <v>0</v>
      </c>
      <c r="AD328" s="28">
        <f t="shared" si="424"/>
        <v>45432</v>
      </c>
      <c r="AE328" s="24">
        <f t="shared" si="425"/>
        <v>0</v>
      </c>
      <c r="AF328" s="25">
        <f t="shared" si="426"/>
        <v>0</v>
      </c>
      <c r="AG328" s="28">
        <f t="shared" si="427"/>
        <v>45432</v>
      </c>
      <c r="AH328" s="24">
        <f t="shared" si="428"/>
        <v>0</v>
      </c>
      <c r="AI328" s="25">
        <f t="shared" si="429"/>
        <v>0</v>
      </c>
      <c r="AJ328" s="28">
        <f t="shared" si="430"/>
        <v>45432</v>
      </c>
      <c r="AK328" s="24">
        <f t="shared" si="431"/>
        <v>0</v>
      </c>
      <c r="AL328" s="25">
        <f t="shared" si="432"/>
        <v>0</v>
      </c>
      <c r="AM328" s="29">
        <f t="shared" si="433"/>
        <v>0</v>
      </c>
      <c r="AN328" s="28">
        <f t="shared" si="434"/>
        <v>45432</v>
      </c>
      <c r="AO328" s="373">
        <f t="shared" si="403"/>
        <v>0</v>
      </c>
      <c r="AP328" s="374">
        <f t="shared" si="404"/>
        <v>0</v>
      </c>
      <c r="AQ328" s="27">
        <f t="shared" si="405"/>
        <v>0</v>
      </c>
      <c r="AR328" s="25">
        <f t="shared" si="406"/>
        <v>0</v>
      </c>
      <c r="AS328" s="25">
        <f t="shared" si="407"/>
        <v>0</v>
      </c>
      <c r="AT328" s="25">
        <f t="shared" si="408"/>
        <v>0</v>
      </c>
      <c r="AU328" s="29">
        <f t="shared" si="465"/>
        <v>0</v>
      </c>
      <c r="AV328" s="27">
        <f t="shared" si="435"/>
        <v>0</v>
      </c>
      <c r="AW328" s="27">
        <f t="shared" si="436"/>
        <v>0</v>
      </c>
      <c r="AX328" s="27">
        <f t="shared" si="437"/>
        <v>0</v>
      </c>
      <c r="AY328" s="27">
        <f t="shared" si="438"/>
        <v>0</v>
      </c>
      <c r="BH328" s="2">
        <f t="shared" si="439"/>
        <v>0</v>
      </c>
      <c r="BI328" s="298" t="str">
        <f t="shared" si="440"/>
        <v/>
      </c>
      <c r="BJ328" s="298" t="str">
        <f t="shared" si="409"/>
        <v/>
      </c>
      <c r="BQ328" s="4">
        <f t="shared" si="441"/>
        <v>45432</v>
      </c>
      <c r="BR328" s="112">
        <f t="shared" si="442"/>
        <v>0</v>
      </c>
      <c r="BS328" s="112">
        <f t="shared" si="443"/>
        <v>0</v>
      </c>
      <c r="BT328" s="112">
        <f t="shared" si="444"/>
        <v>0</v>
      </c>
      <c r="BU328" s="112">
        <f t="shared" si="445"/>
        <v>0</v>
      </c>
      <c r="BV328" s="112">
        <f t="shared" si="446"/>
        <v>0</v>
      </c>
      <c r="CI328" s="4">
        <f t="shared" si="447"/>
        <v>45432</v>
      </c>
      <c r="CJ328" s="50">
        <f ca="1">IF($BH328=0,IF($CO328="",CJ327+R328,IF('283'!$K$251=1,VLOOKUP($CO328,PerStBal,2)+R328,IF('283'!$K$253=1,(VLOOKUP($CO328,PerPortion,2)*VLOOKUP($CO328,PerStBal,6))+R328,GL!BS328))),0)</f>
        <v>0</v>
      </c>
      <c r="CK328" s="425">
        <f ca="1">IF($BH328=0,IF($CO328="",CK327+T328,IF('283'!$K$251=1,IF(mname2&lt;&gt;"",VLOOKUP($CO328,PerStBal,3)+T328,0),IF('283'!$K$253=1,(VLOOKUP($CO328,PerPortion,3)*VLOOKUP($CO328,PerStBal,6))+T328,GL!BT328))),0)</f>
        <v>0</v>
      </c>
      <c r="CL328" s="425">
        <f ca="1">IF($BH328=0,IF($CO328="",CL327+V328,IF('283'!$K$251=1,IF(mname3&lt;&gt;"",VLOOKUP($CO328,PerStBal,4)+V328,0),IF('283'!$K$253=1,(VLOOKUP($CO328,PerPortion,4)*VLOOKUP($CO328,PerStBal,6))+V328,GL!BU328))),0)</f>
        <v>0</v>
      </c>
      <c r="CM328" s="425">
        <f ca="1">IF($BH328=0,IF($CO328="",CM327+X328,IF('283'!$K$251=1,IF(mname4&lt;&gt;"",VLOOKUP($CO328,PerStBal,5)+X328,0),IF('283'!$K$253=1,(VLOOKUP($CO328,PerPortion,5)*VLOOKUP($CO328,PerStBal,6))+X328,GL!BV328))),0)</f>
        <v>0</v>
      </c>
      <c r="CN328" s="50">
        <f t="shared" ca="1" si="448"/>
        <v>0</v>
      </c>
      <c r="CO328" s="4" t="str">
        <f t="shared" ca="1" si="449"/>
        <v/>
      </c>
      <c r="CP328" s="377">
        <f t="shared" si="410"/>
        <v>0</v>
      </c>
      <c r="DI328" s="4">
        <f t="shared" si="450"/>
        <v>45432</v>
      </c>
      <c r="DJ328" s="112">
        <f t="shared" ca="1" si="451"/>
        <v>0</v>
      </c>
      <c r="DK328" s="112">
        <f t="shared" si="452"/>
        <v>0</v>
      </c>
      <c r="DL328" s="4">
        <f t="shared" si="453"/>
        <v>45432</v>
      </c>
      <c r="DM328" s="112">
        <f t="shared" ca="1" si="454"/>
        <v>0</v>
      </c>
      <c r="DN328" s="112">
        <f t="shared" si="455"/>
        <v>0</v>
      </c>
      <c r="DO328" s="4">
        <f t="shared" si="456"/>
        <v>45432</v>
      </c>
      <c r="DP328" s="112">
        <f t="shared" ca="1" si="457"/>
        <v>0</v>
      </c>
      <c r="DQ328" s="112">
        <f t="shared" si="458"/>
        <v>0</v>
      </c>
      <c r="DR328" s="4">
        <f t="shared" si="459"/>
        <v>45432</v>
      </c>
      <c r="DS328" s="112">
        <f t="shared" ca="1" si="460"/>
        <v>0</v>
      </c>
      <c r="DT328" s="112">
        <f t="shared" si="461"/>
        <v>0</v>
      </c>
      <c r="DU328" s="4">
        <f t="shared" si="462"/>
        <v>45432</v>
      </c>
      <c r="DV328" s="112">
        <f t="shared" si="463"/>
        <v>0</v>
      </c>
      <c r="DW328" s="112">
        <f t="shared" si="464"/>
        <v>0</v>
      </c>
    </row>
    <row r="329" spans="4:127" x14ac:dyDescent="0.25">
      <c r="Q329" s="4">
        <f t="shared" si="411"/>
        <v>45433</v>
      </c>
      <c r="R329" s="24">
        <f t="shared" si="412"/>
        <v>0</v>
      </c>
      <c r="S329" s="25">
        <f t="shared" si="413"/>
        <v>0</v>
      </c>
      <c r="T329" s="24">
        <f t="shared" si="414"/>
        <v>0</v>
      </c>
      <c r="U329" s="25">
        <f t="shared" si="415"/>
        <v>0</v>
      </c>
      <c r="V329" s="24">
        <f t="shared" si="416"/>
        <v>0</v>
      </c>
      <c r="W329" s="25">
        <f t="shared" si="417"/>
        <v>0</v>
      </c>
      <c r="X329" s="24">
        <f t="shared" si="418"/>
        <v>0</v>
      </c>
      <c r="Y329" s="26">
        <f t="shared" si="419"/>
        <v>0</v>
      </c>
      <c r="Z329" s="27">
        <f t="shared" si="420"/>
        <v>0</v>
      </c>
      <c r="AA329" s="28">
        <f t="shared" si="421"/>
        <v>45433</v>
      </c>
      <c r="AB329" s="24">
        <f t="shared" si="422"/>
        <v>0</v>
      </c>
      <c r="AC329" s="25">
        <f t="shared" si="423"/>
        <v>0</v>
      </c>
      <c r="AD329" s="28">
        <f t="shared" si="424"/>
        <v>45433</v>
      </c>
      <c r="AE329" s="24">
        <f t="shared" si="425"/>
        <v>0</v>
      </c>
      <c r="AF329" s="25">
        <f t="shared" si="426"/>
        <v>0</v>
      </c>
      <c r="AG329" s="28">
        <f t="shared" si="427"/>
        <v>45433</v>
      </c>
      <c r="AH329" s="24">
        <f t="shared" si="428"/>
        <v>0</v>
      </c>
      <c r="AI329" s="25">
        <f t="shared" si="429"/>
        <v>0</v>
      </c>
      <c r="AJ329" s="28">
        <f t="shared" si="430"/>
        <v>45433</v>
      </c>
      <c r="AK329" s="24">
        <f t="shared" si="431"/>
        <v>0</v>
      </c>
      <c r="AL329" s="25">
        <f t="shared" si="432"/>
        <v>0</v>
      </c>
      <c r="AM329" s="29">
        <f t="shared" si="433"/>
        <v>0</v>
      </c>
      <c r="AN329" s="28">
        <f t="shared" si="434"/>
        <v>45433</v>
      </c>
      <c r="AO329" s="373">
        <f t="shared" si="403"/>
        <v>0</v>
      </c>
      <c r="AP329" s="374">
        <f t="shared" si="404"/>
        <v>0</v>
      </c>
      <c r="AQ329" s="27">
        <f t="shared" si="405"/>
        <v>0</v>
      </c>
      <c r="AR329" s="25">
        <f t="shared" si="406"/>
        <v>0</v>
      </c>
      <c r="AS329" s="25">
        <f t="shared" si="407"/>
        <v>0</v>
      </c>
      <c r="AT329" s="25">
        <f t="shared" si="408"/>
        <v>0</v>
      </c>
      <c r="AU329" s="29">
        <f t="shared" si="465"/>
        <v>0</v>
      </c>
      <c r="AV329" s="27">
        <f t="shared" si="435"/>
        <v>0</v>
      </c>
      <c r="AW329" s="27">
        <f t="shared" si="436"/>
        <v>0</v>
      </c>
      <c r="AX329" s="27">
        <f t="shared" si="437"/>
        <v>0</v>
      </c>
      <c r="AY329" s="27">
        <f t="shared" si="438"/>
        <v>0</v>
      </c>
      <c r="BH329" s="2">
        <f t="shared" si="439"/>
        <v>0</v>
      </c>
      <c r="BI329" s="298" t="str">
        <f t="shared" si="440"/>
        <v/>
      </c>
      <c r="BJ329" s="298" t="str">
        <f t="shared" si="409"/>
        <v/>
      </c>
      <c r="BQ329" s="4">
        <f t="shared" si="441"/>
        <v>45433</v>
      </c>
      <c r="BR329" s="112">
        <f t="shared" si="442"/>
        <v>0</v>
      </c>
      <c r="BS329" s="112">
        <f t="shared" si="443"/>
        <v>0</v>
      </c>
      <c r="BT329" s="112">
        <f t="shared" si="444"/>
        <v>0</v>
      </c>
      <c r="BU329" s="112">
        <f t="shared" si="445"/>
        <v>0</v>
      </c>
      <c r="BV329" s="112">
        <f t="shared" si="446"/>
        <v>0</v>
      </c>
      <c r="CI329" s="4">
        <f t="shared" si="447"/>
        <v>45433</v>
      </c>
      <c r="CJ329" s="50">
        <f ca="1">IF($BH329=0,IF($CO329="",CJ328+R329,IF('283'!$K$251=1,VLOOKUP($CO329,PerStBal,2)+R329,IF('283'!$K$253=1,(VLOOKUP($CO329,PerPortion,2)*VLOOKUP($CO329,PerStBal,6))+R329,GL!BS329))),0)</f>
        <v>0</v>
      </c>
      <c r="CK329" s="425">
        <f ca="1">IF($BH329=0,IF($CO329="",CK328+T329,IF('283'!$K$251=1,IF(mname2&lt;&gt;"",VLOOKUP($CO329,PerStBal,3)+T329,0),IF('283'!$K$253=1,(VLOOKUP($CO329,PerPortion,3)*VLOOKUP($CO329,PerStBal,6))+T329,GL!BT329))),0)</f>
        <v>0</v>
      </c>
      <c r="CL329" s="425">
        <f ca="1">IF($BH329=0,IF($CO329="",CL328+V329,IF('283'!$K$251=1,IF(mname3&lt;&gt;"",VLOOKUP($CO329,PerStBal,4)+V329,0),IF('283'!$K$253=1,(VLOOKUP($CO329,PerPortion,4)*VLOOKUP($CO329,PerStBal,6))+V329,GL!BU329))),0)</f>
        <v>0</v>
      </c>
      <c r="CM329" s="425">
        <f ca="1">IF($BH329=0,IF($CO329="",CM328+X329,IF('283'!$K$251=1,IF(mname4&lt;&gt;"",VLOOKUP($CO329,PerStBal,5)+X329,0),IF('283'!$K$253=1,(VLOOKUP($CO329,PerPortion,5)*VLOOKUP($CO329,PerStBal,6))+X329,GL!BV329))),0)</f>
        <v>0</v>
      </c>
      <c r="CN329" s="50">
        <f t="shared" ca="1" si="448"/>
        <v>0</v>
      </c>
      <c r="CO329" s="4" t="str">
        <f t="shared" ca="1" si="449"/>
        <v/>
      </c>
      <c r="CP329" s="377">
        <f t="shared" si="410"/>
        <v>0</v>
      </c>
      <c r="DI329" s="4">
        <f t="shared" si="450"/>
        <v>45433</v>
      </c>
      <c r="DJ329" s="112">
        <f t="shared" ca="1" si="451"/>
        <v>0</v>
      </c>
      <c r="DK329" s="112">
        <f t="shared" si="452"/>
        <v>0</v>
      </c>
      <c r="DL329" s="4">
        <f t="shared" si="453"/>
        <v>45433</v>
      </c>
      <c r="DM329" s="112">
        <f t="shared" ca="1" si="454"/>
        <v>0</v>
      </c>
      <c r="DN329" s="112">
        <f t="shared" si="455"/>
        <v>0</v>
      </c>
      <c r="DO329" s="4">
        <f t="shared" si="456"/>
        <v>45433</v>
      </c>
      <c r="DP329" s="112">
        <f t="shared" ca="1" si="457"/>
        <v>0</v>
      </c>
      <c r="DQ329" s="112">
        <f t="shared" si="458"/>
        <v>0</v>
      </c>
      <c r="DR329" s="4">
        <f t="shared" si="459"/>
        <v>45433</v>
      </c>
      <c r="DS329" s="112">
        <f t="shared" ca="1" si="460"/>
        <v>0</v>
      </c>
      <c r="DT329" s="112">
        <f t="shared" si="461"/>
        <v>0</v>
      </c>
      <c r="DU329" s="4">
        <f t="shared" si="462"/>
        <v>45433</v>
      </c>
      <c r="DV329" s="112">
        <f t="shared" si="463"/>
        <v>0</v>
      </c>
      <c r="DW329" s="112">
        <f t="shared" si="464"/>
        <v>0</v>
      </c>
    </row>
    <row r="330" spans="4:127" x14ac:dyDescent="0.25">
      <c r="Q330" s="4">
        <f t="shared" si="411"/>
        <v>45434</v>
      </c>
      <c r="R330" s="24">
        <f t="shared" si="412"/>
        <v>0</v>
      </c>
      <c r="S330" s="25">
        <f t="shared" si="413"/>
        <v>0</v>
      </c>
      <c r="T330" s="24">
        <f t="shared" si="414"/>
        <v>0</v>
      </c>
      <c r="U330" s="25">
        <f t="shared" si="415"/>
        <v>0</v>
      </c>
      <c r="V330" s="24">
        <f t="shared" si="416"/>
        <v>0</v>
      </c>
      <c r="W330" s="25">
        <f t="shared" si="417"/>
        <v>0</v>
      </c>
      <c r="X330" s="24">
        <f t="shared" si="418"/>
        <v>0</v>
      </c>
      <c r="Y330" s="26">
        <f t="shared" si="419"/>
        <v>0</v>
      </c>
      <c r="Z330" s="27">
        <f t="shared" si="420"/>
        <v>0</v>
      </c>
      <c r="AA330" s="28">
        <f t="shared" si="421"/>
        <v>45434</v>
      </c>
      <c r="AB330" s="24">
        <f t="shared" si="422"/>
        <v>0</v>
      </c>
      <c r="AC330" s="25">
        <f t="shared" si="423"/>
        <v>0</v>
      </c>
      <c r="AD330" s="28">
        <f t="shared" si="424"/>
        <v>45434</v>
      </c>
      <c r="AE330" s="24">
        <f t="shared" si="425"/>
        <v>0</v>
      </c>
      <c r="AF330" s="25">
        <f t="shared" si="426"/>
        <v>0</v>
      </c>
      <c r="AG330" s="28">
        <f t="shared" si="427"/>
        <v>45434</v>
      </c>
      <c r="AH330" s="24">
        <f t="shared" si="428"/>
        <v>0</v>
      </c>
      <c r="AI330" s="25">
        <f t="shared" si="429"/>
        <v>0</v>
      </c>
      <c r="AJ330" s="28">
        <f t="shared" si="430"/>
        <v>45434</v>
      </c>
      <c r="AK330" s="24">
        <f t="shared" si="431"/>
        <v>0</v>
      </c>
      <c r="AL330" s="25">
        <f t="shared" si="432"/>
        <v>0</v>
      </c>
      <c r="AM330" s="29">
        <f t="shared" si="433"/>
        <v>0</v>
      </c>
      <c r="AN330" s="28">
        <f t="shared" si="434"/>
        <v>45434</v>
      </c>
      <c r="AO330" s="373">
        <f t="shared" si="403"/>
        <v>0</v>
      </c>
      <c r="AP330" s="374">
        <f t="shared" si="404"/>
        <v>0</v>
      </c>
      <c r="AQ330" s="27">
        <f t="shared" si="405"/>
        <v>0</v>
      </c>
      <c r="AR330" s="25">
        <f t="shared" si="406"/>
        <v>0</v>
      </c>
      <c r="AS330" s="25">
        <f t="shared" si="407"/>
        <v>0</v>
      </c>
      <c r="AT330" s="25">
        <f t="shared" si="408"/>
        <v>0</v>
      </c>
      <c r="AU330" s="29">
        <f t="shared" si="465"/>
        <v>0</v>
      </c>
      <c r="AV330" s="27">
        <f t="shared" si="435"/>
        <v>0</v>
      </c>
      <c r="AW330" s="27">
        <f t="shared" si="436"/>
        <v>0</v>
      </c>
      <c r="AX330" s="27">
        <f t="shared" si="437"/>
        <v>0</v>
      </c>
      <c r="AY330" s="27">
        <f t="shared" si="438"/>
        <v>0</v>
      </c>
      <c r="BH330" s="2">
        <f t="shared" si="439"/>
        <v>0</v>
      </c>
      <c r="BI330" s="298" t="str">
        <f t="shared" si="440"/>
        <v/>
      </c>
      <c r="BJ330" s="298" t="str">
        <f t="shared" si="409"/>
        <v/>
      </c>
      <c r="BQ330" s="4">
        <f t="shared" si="441"/>
        <v>45434</v>
      </c>
      <c r="BR330" s="112">
        <f t="shared" si="442"/>
        <v>0</v>
      </c>
      <c r="BS330" s="112">
        <f t="shared" si="443"/>
        <v>0</v>
      </c>
      <c r="BT330" s="112">
        <f t="shared" si="444"/>
        <v>0</v>
      </c>
      <c r="BU330" s="112">
        <f t="shared" si="445"/>
        <v>0</v>
      </c>
      <c r="BV330" s="112">
        <f t="shared" si="446"/>
        <v>0</v>
      </c>
      <c r="CI330" s="4">
        <f t="shared" si="447"/>
        <v>45434</v>
      </c>
      <c r="CJ330" s="50">
        <f ca="1">IF($BH330=0,IF($CO330="",CJ329+R330,IF('283'!$K$251=1,VLOOKUP($CO330,PerStBal,2)+R330,IF('283'!$K$253=1,(VLOOKUP($CO330,PerPortion,2)*VLOOKUP($CO330,PerStBal,6))+R330,GL!BS330))),0)</f>
        <v>0</v>
      </c>
      <c r="CK330" s="425">
        <f ca="1">IF($BH330=0,IF($CO330="",CK329+T330,IF('283'!$K$251=1,IF(mname2&lt;&gt;"",VLOOKUP($CO330,PerStBal,3)+T330,0),IF('283'!$K$253=1,(VLOOKUP($CO330,PerPortion,3)*VLOOKUP($CO330,PerStBal,6))+T330,GL!BT330))),0)</f>
        <v>0</v>
      </c>
      <c r="CL330" s="425">
        <f ca="1">IF($BH330=0,IF($CO330="",CL329+V330,IF('283'!$K$251=1,IF(mname3&lt;&gt;"",VLOOKUP($CO330,PerStBal,4)+V330,0),IF('283'!$K$253=1,(VLOOKUP($CO330,PerPortion,4)*VLOOKUP($CO330,PerStBal,6))+V330,GL!BU330))),0)</f>
        <v>0</v>
      </c>
      <c r="CM330" s="425">
        <f ca="1">IF($BH330=0,IF($CO330="",CM329+X330,IF('283'!$K$251=1,IF(mname4&lt;&gt;"",VLOOKUP($CO330,PerStBal,5)+X330,0),IF('283'!$K$253=1,(VLOOKUP($CO330,PerPortion,5)*VLOOKUP($CO330,PerStBal,6))+X330,GL!BV330))),0)</f>
        <v>0</v>
      </c>
      <c r="CN330" s="50">
        <f t="shared" ca="1" si="448"/>
        <v>0</v>
      </c>
      <c r="CO330" s="4" t="str">
        <f t="shared" ca="1" si="449"/>
        <v/>
      </c>
      <c r="CP330" s="377">
        <f t="shared" si="410"/>
        <v>0</v>
      </c>
      <c r="DI330" s="4">
        <f t="shared" si="450"/>
        <v>45434</v>
      </c>
      <c r="DJ330" s="112">
        <f t="shared" ca="1" si="451"/>
        <v>0</v>
      </c>
      <c r="DK330" s="112">
        <f t="shared" si="452"/>
        <v>0</v>
      </c>
      <c r="DL330" s="4">
        <f t="shared" si="453"/>
        <v>45434</v>
      </c>
      <c r="DM330" s="112">
        <f t="shared" ca="1" si="454"/>
        <v>0</v>
      </c>
      <c r="DN330" s="112">
        <f t="shared" si="455"/>
        <v>0</v>
      </c>
      <c r="DO330" s="4">
        <f t="shared" si="456"/>
        <v>45434</v>
      </c>
      <c r="DP330" s="112">
        <f t="shared" ca="1" si="457"/>
        <v>0</v>
      </c>
      <c r="DQ330" s="112">
        <f t="shared" si="458"/>
        <v>0</v>
      </c>
      <c r="DR330" s="4">
        <f t="shared" si="459"/>
        <v>45434</v>
      </c>
      <c r="DS330" s="112">
        <f t="shared" ca="1" si="460"/>
        <v>0</v>
      </c>
      <c r="DT330" s="112">
        <f t="shared" si="461"/>
        <v>0</v>
      </c>
      <c r="DU330" s="4">
        <f t="shared" si="462"/>
        <v>45434</v>
      </c>
      <c r="DV330" s="112">
        <f t="shared" si="463"/>
        <v>0</v>
      </c>
      <c r="DW330" s="112">
        <f t="shared" si="464"/>
        <v>0</v>
      </c>
    </row>
    <row r="331" spans="4:127" x14ac:dyDescent="0.25">
      <c r="Q331" s="4">
        <f t="shared" si="411"/>
        <v>45435</v>
      </c>
      <c r="R331" s="24">
        <f t="shared" si="412"/>
        <v>0</v>
      </c>
      <c r="S331" s="25">
        <f t="shared" si="413"/>
        <v>0</v>
      </c>
      <c r="T331" s="24">
        <f t="shared" si="414"/>
        <v>0</v>
      </c>
      <c r="U331" s="25">
        <f t="shared" si="415"/>
        <v>0</v>
      </c>
      <c r="V331" s="24">
        <f t="shared" si="416"/>
        <v>0</v>
      </c>
      <c r="W331" s="25">
        <f t="shared" si="417"/>
        <v>0</v>
      </c>
      <c r="X331" s="24">
        <f t="shared" si="418"/>
        <v>0</v>
      </c>
      <c r="Y331" s="26">
        <f t="shared" si="419"/>
        <v>0</v>
      </c>
      <c r="Z331" s="27">
        <f t="shared" si="420"/>
        <v>0</v>
      </c>
      <c r="AA331" s="28">
        <f t="shared" si="421"/>
        <v>45435</v>
      </c>
      <c r="AB331" s="24">
        <f t="shared" si="422"/>
        <v>0</v>
      </c>
      <c r="AC331" s="25">
        <f t="shared" si="423"/>
        <v>0</v>
      </c>
      <c r="AD331" s="28">
        <f t="shared" si="424"/>
        <v>45435</v>
      </c>
      <c r="AE331" s="24">
        <f t="shared" si="425"/>
        <v>0</v>
      </c>
      <c r="AF331" s="25">
        <f t="shared" si="426"/>
        <v>0</v>
      </c>
      <c r="AG331" s="28">
        <f t="shared" si="427"/>
        <v>45435</v>
      </c>
      <c r="AH331" s="24">
        <f t="shared" si="428"/>
        <v>0</v>
      </c>
      <c r="AI331" s="25">
        <f t="shared" si="429"/>
        <v>0</v>
      </c>
      <c r="AJ331" s="28">
        <f t="shared" si="430"/>
        <v>45435</v>
      </c>
      <c r="AK331" s="24">
        <f t="shared" si="431"/>
        <v>0</v>
      </c>
      <c r="AL331" s="25">
        <f t="shared" si="432"/>
        <v>0</v>
      </c>
      <c r="AM331" s="29">
        <f t="shared" si="433"/>
        <v>0</v>
      </c>
      <c r="AN331" s="28">
        <f t="shared" si="434"/>
        <v>45435</v>
      </c>
      <c r="AO331" s="373">
        <f t="shared" si="403"/>
        <v>0</v>
      </c>
      <c r="AP331" s="374">
        <f t="shared" si="404"/>
        <v>0</v>
      </c>
      <c r="AQ331" s="27">
        <f t="shared" si="405"/>
        <v>0</v>
      </c>
      <c r="AR331" s="25">
        <f t="shared" si="406"/>
        <v>0</v>
      </c>
      <c r="AS331" s="25">
        <f t="shared" si="407"/>
        <v>0</v>
      </c>
      <c r="AT331" s="25">
        <f t="shared" si="408"/>
        <v>0</v>
      </c>
      <c r="AU331" s="29">
        <f t="shared" si="465"/>
        <v>0</v>
      </c>
      <c r="AV331" s="27">
        <f t="shared" si="435"/>
        <v>0</v>
      </c>
      <c r="AW331" s="27">
        <f t="shared" si="436"/>
        <v>0</v>
      </c>
      <c r="AX331" s="27">
        <f t="shared" si="437"/>
        <v>0</v>
      </c>
      <c r="AY331" s="27">
        <f t="shared" si="438"/>
        <v>0</v>
      </c>
      <c r="BH331" s="2">
        <f t="shared" si="439"/>
        <v>0</v>
      </c>
      <c r="BI331" s="298" t="str">
        <f t="shared" si="440"/>
        <v/>
      </c>
      <c r="BJ331" s="298" t="str">
        <f t="shared" si="409"/>
        <v/>
      </c>
      <c r="BQ331" s="4">
        <f t="shared" si="441"/>
        <v>45435</v>
      </c>
      <c r="BR331" s="112">
        <f t="shared" si="442"/>
        <v>0</v>
      </c>
      <c r="BS331" s="112">
        <f t="shared" si="443"/>
        <v>0</v>
      </c>
      <c r="BT331" s="112">
        <f t="shared" si="444"/>
        <v>0</v>
      </c>
      <c r="BU331" s="112">
        <f t="shared" si="445"/>
        <v>0</v>
      </c>
      <c r="BV331" s="112">
        <f t="shared" si="446"/>
        <v>0</v>
      </c>
      <c r="CI331" s="4">
        <f t="shared" si="447"/>
        <v>45435</v>
      </c>
      <c r="CJ331" s="50">
        <f ca="1">IF($BH331=0,IF($CO331="",CJ330+R331,IF('283'!$K$251=1,VLOOKUP($CO331,PerStBal,2)+R331,IF('283'!$K$253=1,(VLOOKUP($CO331,PerPortion,2)*VLOOKUP($CO331,PerStBal,6))+R331,GL!BS331))),0)</f>
        <v>0</v>
      </c>
      <c r="CK331" s="425">
        <f ca="1">IF($BH331=0,IF($CO331="",CK330+T331,IF('283'!$K$251=1,IF(mname2&lt;&gt;"",VLOOKUP($CO331,PerStBal,3)+T331,0),IF('283'!$K$253=1,(VLOOKUP($CO331,PerPortion,3)*VLOOKUP($CO331,PerStBal,6))+T331,GL!BT331))),0)</f>
        <v>0</v>
      </c>
      <c r="CL331" s="425">
        <f ca="1">IF($BH331=0,IF($CO331="",CL330+V331,IF('283'!$K$251=1,IF(mname3&lt;&gt;"",VLOOKUP($CO331,PerStBal,4)+V331,0),IF('283'!$K$253=1,(VLOOKUP($CO331,PerPortion,4)*VLOOKUP($CO331,PerStBal,6))+V331,GL!BU331))),0)</f>
        <v>0</v>
      </c>
      <c r="CM331" s="425">
        <f ca="1">IF($BH331=0,IF($CO331="",CM330+X331,IF('283'!$K$251=1,IF(mname4&lt;&gt;"",VLOOKUP($CO331,PerStBal,5)+X331,0),IF('283'!$K$253=1,(VLOOKUP($CO331,PerPortion,5)*VLOOKUP($CO331,PerStBal,6))+X331,GL!BV331))),0)</f>
        <v>0</v>
      </c>
      <c r="CN331" s="50">
        <f t="shared" ca="1" si="448"/>
        <v>0</v>
      </c>
      <c r="CO331" s="4" t="str">
        <f t="shared" ca="1" si="449"/>
        <v/>
      </c>
      <c r="CP331" s="377">
        <f t="shared" si="410"/>
        <v>0</v>
      </c>
      <c r="DI331" s="4">
        <f t="shared" si="450"/>
        <v>45435</v>
      </c>
      <c r="DJ331" s="112">
        <f t="shared" ca="1" si="451"/>
        <v>0</v>
      </c>
      <c r="DK331" s="112">
        <f t="shared" si="452"/>
        <v>0</v>
      </c>
      <c r="DL331" s="4">
        <f t="shared" si="453"/>
        <v>45435</v>
      </c>
      <c r="DM331" s="112">
        <f t="shared" ca="1" si="454"/>
        <v>0</v>
      </c>
      <c r="DN331" s="112">
        <f t="shared" si="455"/>
        <v>0</v>
      </c>
      <c r="DO331" s="4">
        <f t="shared" si="456"/>
        <v>45435</v>
      </c>
      <c r="DP331" s="112">
        <f t="shared" ca="1" si="457"/>
        <v>0</v>
      </c>
      <c r="DQ331" s="112">
        <f t="shared" si="458"/>
        <v>0</v>
      </c>
      <c r="DR331" s="4">
        <f t="shared" si="459"/>
        <v>45435</v>
      </c>
      <c r="DS331" s="112">
        <f t="shared" ca="1" si="460"/>
        <v>0</v>
      </c>
      <c r="DT331" s="112">
        <f t="shared" si="461"/>
        <v>0</v>
      </c>
      <c r="DU331" s="4">
        <f t="shared" si="462"/>
        <v>45435</v>
      </c>
      <c r="DV331" s="112">
        <f t="shared" si="463"/>
        <v>0</v>
      </c>
      <c r="DW331" s="112">
        <f t="shared" si="464"/>
        <v>0</v>
      </c>
    </row>
    <row r="332" spans="4:127" x14ac:dyDescent="0.25">
      <c r="Q332" s="4">
        <f t="shared" si="411"/>
        <v>45436</v>
      </c>
      <c r="R332" s="24">
        <f t="shared" si="412"/>
        <v>0</v>
      </c>
      <c r="S332" s="25">
        <f t="shared" si="413"/>
        <v>0</v>
      </c>
      <c r="T332" s="24">
        <f t="shared" si="414"/>
        <v>0</v>
      </c>
      <c r="U332" s="25">
        <f t="shared" si="415"/>
        <v>0</v>
      </c>
      <c r="V332" s="24">
        <f t="shared" si="416"/>
        <v>0</v>
      </c>
      <c r="W332" s="25">
        <f t="shared" si="417"/>
        <v>0</v>
      </c>
      <c r="X332" s="24">
        <f t="shared" si="418"/>
        <v>0</v>
      </c>
      <c r="Y332" s="26">
        <f t="shared" si="419"/>
        <v>0</v>
      </c>
      <c r="Z332" s="27">
        <f t="shared" si="420"/>
        <v>0</v>
      </c>
      <c r="AA332" s="28">
        <f t="shared" si="421"/>
        <v>45436</v>
      </c>
      <c r="AB332" s="24">
        <f t="shared" si="422"/>
        <v>0</v>
      </c>
      <c r="AC332" s="25">
        <f t="shared" si="423"/>
        <v>0</v>
      </c>
      <c r="AD332" s="28">
        <f t="shared" si="424"/>
        <v>45436</v>
      </c>
      <c r="AE332" s="24">
        <f t="shared" si="425"/>
        <v>0</v>
      </c>
      <c r="AF332" s="25">
        <f t="shared" si="426"/>
        <v>0</v>
      </c>
      <c r="AG332" s="28">
        <f t="shared" si="427"/>
        <v>45436</v>
      </c>
      <c r="AH332" s="24">
        <f t="shared" si="428"/>
        <v>0</v>
      </c>
      <c r="AI332" s="25">
        <f t="shared" si="429"/>
        <v>0</v>
      </c>
      <c r="AJ332" s="28">
        <f t="shared" si="430"/>
        <v>45436</v>
      </c>
      <c r="AK332" s="24">
        <f t="shared" si="431"/>
        <v>0</v>
      </c>
      <c r="AL332" s="25">
        <f t="shared" si="432"/>
        <v>0</v>
      </c>
      <c r="AM332" s="29">
        <f t="shared" si="433"/>
        <v>0</v>
      </c>
      <c r="AN332" s="28">
        <f t="shared" si="434"/>
        <v>45436</v>
      </c>
      <c r="AO332" s="373">
        <f t="shared" si="403"/>
        <v>0</v>
      </c>
      <c r="AP332" s="374">
        <f t="shared" si="404"/>
        <v>0</v>
      </c>
      <c r="AQ332" s="27">
        <f t="shared" si="405"/>
        <v>0</v>
      </c>
      <c r="AR332" s="25">
        <f t="shared" si="406"/>
        <v>0</v>
      </c>
      <c r="AS332" s="25">
        <f t="shared" si="407"/>
        <v>0</v>
      </c>
      <c r="AT332" s="25">
        <f t="shared" si="408"/>
        <v>0</v>
      </c>
      <c r="AU332" s="29">
        <f t="shared" si="465"/>
        <v>0</v>
      </c>
      <c r="AV332" s="27">
        <f t="shared" si="435"/>
        <v>0</v>
      </c>
      <c r="AW332" s="27">
        <f t="shared" si="436"/>
        <v>0</v>
      </c>
      <c r="AX332" s="27">
        <f t="shared" si="437"/>
        <v>0</v>
      </c>
      <c r="AY332" s="27">
        <f t="shared" si="438"/>
        <v>0</v>
      </c>
      <c r="BH332" s="2">
        <f t="shared" si="439"/>
        <v>0</v>
      </c>
      <c r="BI332" s="298" t="str">
        <f t="shared" si="440"/>
        <v/>
      </c>
      <c r="BJ332" s="298" t="str">
        <f t="shared" si="409"/>
        <v/>
      </c>
      <c r="BQ332" s="4">
        <f t="shared" si="441"/>
        <v>45436</v>
      </c>
      <c r="BR332" s="112">
        <f t="shared" si="442"/>
        <v>0</v>
      </c>
      <c r="BS332" s="112">
        <f t="shared" si="443"/>
        <v>0</v>
      </c>
      <c r="BT332" s="112">
        <f t="shared" si="444"/>
        <v>0</v>
      </c>
      <c r="BU332" s="112">
        <f t="shared" si="445"/>
        <v>0</v>
      </c>
      <c r="BV332" s="112">
        <f t="shared" si="446"/>
        <v>0</v>
      </c>
      <c r="CI332" s="4">
        <f t="shared" si="447"/>
        <v>45436</v>
      </c>
      <c r="CJ332" s="50">
        <f ca="1">IF($BH332=0,IF($CO332="",CJ331+R332,IF('283'!$K$251=1,VLOOKUP($CO332,PerStBal,2)+R332,IF('283'!$K$253=1,(VLOOKUP($CO332,PerPortion,2)*VLOOKUP($CO332,PerStBal,6))+R332,GL!BS332))),0)</f>
        <v>0</v>
      </c>
      <c r="CK332" s="425">
        <f ca="1">IF($BH332=0,IF($CO332="",CK331+T332,IF('283'!$K$251=1,IF(mname2&lt;&gt;"",VLOOKUP($CO332,PerStBal,3)+T332,0),IF('283'!$K$253=1,(VLOOKUP($CO332,PerPortion,3)*VLOOKUP($CO332,PerStBal,6))+T332,GL!BT332))),0)</f>
        <v>0</v>
      </c>
      <c r="CL332" s="425">
        <f ca="1">IF($BH332=0,IF($CO332="",CL331+V332,IF('283'!$K$251=1,IF(mname3&lt;&gt;"",VLOOKUP($CO332,PerStBal,4)+V332,0),IF('283'!$K$253=1,(VLOOKUP($CO332,PerPortion,4)*VLOOKUP($CO332,PerStBal,6))+V332,GL!BU332))),0)</f>
        <v>0</v>
      </c>
      <c r="CM332" s="425">
        <f ca="1">IF($BH332=0,IF($CO332="",CM331+X332,IF('283'!$K$251=1,IF(mname4&lt;&gt;"",VLOOKUP($CO332,PerStBal,5)+X332,0),IF('283'!$K$253=1,(VLOOKUP($CO332,PerPortion,5)*VLOOKUP($CO332,PerStBal,6))+X332,GL!BV332))),0)</f>
        <v>0</v>
      </c>
      <c r="CN332" s="50">
        <f t="shared" ca="1" si="448"/>
        <v>0</v>
      </c>
      <c r="CO332" s="4" t="str">
        <f t="shared" ca="1" si="449"/>
        <v/>
      </c>
      <c r="CP332" s="377">
        <f t="shared" si="410"/>
        <v>0</v>
      </c>
      <c r="DI332" s="4">
        <f t="shared" si="450"/>
        <v>45436</v>
      </c>
      <c r="DJ332" s="112">
        <f t="shared" ca="1" si="451"/>
        <v>0</v>
      </c>
      <c r="DK332" s="112">
        <f t="shared" si="452"/>
        <v>0</v>
      </c>
      <c r="DL332" s="4">
        <f t="shared" si="453"/>
        <v>45436</v>
      </c>
      <c r="DM332" s="112">
        <f t="shared" ca="1" si="454"/>
        <v>0</v>
      </c>
      <c r="DN332" s="112">
        <f t="shared" si="455"/>
        <v>0</v>
      </c>
      <c r="DO332" s="4">
        <f t="shared" si="456"/>
        <v>45436</v>
      </c>
      <c r="DP332" s="112">
        <f t="shared" ca="1" si="457"/>
        <v>0</v>
      </c>
      <c r="DQ332" s="112">
        <f t="shared" si="458"/>
        <v>0</v>
      </c>
      <c r="DR332" s="4">
        <f t="shared" si="459"/>
        <v>45436</v>
      </c>
      <c r="DS332" s="112">
        <f t="shared" ca="1" si="460"/>
        <v>0</v>
      </c>
      <c r="DT332" s="112">
        <f t="shared" si="461"/>
        <v>0</v>
      </c>
      <c r="DU332" s="4">
        <f t="shared" si="462"/>
        <v>45436</v>
      </c>
      <c r="DV332" s="112">
        <f t="shared" si="463"/>
        <v>0</v>
      </c>
      <c r="DW332" s="112">
        <f t="shared" si="464"/>
        <v>0</v>
      </c>
    </row>
    <row r="333" spans="4:127" x14ac:dyDescent="0.25">
      <c r="Q333" s="4">
        <f t="shared" si="411"/>
        <v>45437</v>
      </c>
      <c r="R333" s="24">
        <f t="shared" si="412"/>
        <v>0</v>
      </c>
      <c r="S333" s="25">
        <f t="shared" si="413"/>
        <v>0</v>
      </c>
      <c r="T333" s="24">
        <f t="shared" si="414"/>
        <v>0</v>
      </c>
      <c r="U333" s="25">
        <f t="shared" si="415"/>
        <v>0</v>
      </c>
      <c r="V333" s="24">
        <f t="shared" si="416"/>
        <v>0</v>
      </c>
      <c r="W333" s="25">
        <f t="shared" si="417"/>
        <v>0</v>
      </c>
      <c r="X333" s="24">
        <f t="shared" si="418"/>
        <v>0</v>
      </c>
      <c r="Y333" s="26">
        <f t="shared" si="419"/>
        <v>0</v>
      </c>
      <c r="Z333" s="27">
        <f t="shared" si="420"/>
        <v>0</v>
      </c>
      <c r="AA333" s="28">
        <f t="shared" si="421"/>
        <v>45437</v>
      </c>
      <c r="AB333" s="24">
        <f t="shared" si="422"/>
        <v>0</v>
      </c>
      <c r="AC333" s="25">
        <f t="shared" si="423"/>
        <v>0</v>
      </c>
      <c r="AD333" s="28">
        <f t="shared" si="424"/>
        <v>45437</v>
      </c>
      <c r="AE333" s="24">
        <f t="shared" si="425"/>
        <v>0</v>
      </c>
      <c r="AF333" s="25">
        <f t="shared" si="426"/>
        <v>0</v>
      </c>
      <c r="AG333" s="28">
        <f t="shared" si="427"/>
        <v>45437</v>
      </c>
      <c r="AH333" s="24">
        <f t="shared" si="428"/>
        <v>0</v>
      </c>
      <c r="AI333" s="25">
        <f t="shared" si="429"/>
        <v>0</v>
      </c>
      <c r="AJ333" s="28">
        <f t="shared" si="430"/>
        <v>45437</v>
      </c>
      <c r="AK333" s="24">
        <f t="shared" si="431"/>
        <v>0</v>
      </c>
      <c r="AL333" s="25">
        <f t="shared" si="432"/>
        <v>0</v>
      </c>
      <c r="AM333" s="29">
        <f t="shared" si="433"/>
        <v>0</v>
      </c>
      <c r="AN333" s="28">
        <f t="shared" si="434"/>
        <v>45437</v>
      </c>
      <c r="AO333" s="373">
        <f t="shared" si="403"/>
        <v>0</v>
      </c>
      <c r="AP333" s="374">
        <f t="shared" si="404"/>
        <v>0</v>
      </c>
      <c r="AQ333" s="27">
        <f t="shared" si="405"/>
        <v>0</v>
      </c>
      <c r="AR333" s="25">
        <f t="shared" si="406"/>
        <v>0</v>
      </c>
      <c r="AS333" s="25">
        <f t="shared" si="407"/>
        <v>0</v>
      </c>
      <c r="AT333" s="25">
        <f t="shared" si="408"/>
        <v>0</v>
      </c>
      <c r="AU333" s="29">
        <f t="shared" si="465"/>
        <v>0</v>
      </c>
      <c r="AV333" s="27">
        <f t="shared" si="435"/>
        <v>0</v>
      </c>
      <c r="AW333" s="27">
        <f t="shared" si="436"/>
        <v>0</v>
      </c>
      <c r="AX333" s="27">
        <f t="shared" si="437"/>
        <v>0</v>
      </c>
      <c r="AY333" s="27">
        <f t="shared" si="438"/>
        <v>0</v>
      </c>
      <c r="BH333" s="2">
        <f t="shared" si="439"/>
        <v>0</v>
      </c>
      <c r="BI333" s="298" t="str">
        <f t="shared" si="440"/>
        <v/>
      </c>
      <c r="BJ333" s="298" t="str">
        <f t="shared" si="409"/>
        <v/>
      </c>
      <c r="BQ333" s="4">
        <f t="shared" si="441"/>
        <v>45437</v>
      </c>
      <c r="BR333" s="112">
        <f t="shared" si="442"/>
        <v>0</v>
      </c>
      <c r="BS333" s="112">
        <f t="shared" si="443"/>
        <v>0</v>
      </c>
      <c r="BT333" s="112">
        <f t="shared" si="444"/>
        <v>0</v>
      </c>
      <c r="BU333" s="112">
        <f t="shared" si="445"/>
        <v>0</v>
      </c>
      <c r="BV333" s="112">
        <f t="shared" si="446"/>
        <v>0</v>
      </c>
      <c r="CI333" s="4">
        <f t="shared" si="447"/>
        <v>45437</v>
      </c>
      <c r="CJ333" s="50">
        <f ca="1">IF($BH333=0,IF($CO333="",CJ332+R333,IF('283'!$K$251=1,VLOOKUP($CO333,PerStBal,2)+R333,IF('283'!$K$253=1,(VLOOKUP($CO333,PerPortion,2)*VLOOKUP($CO333,PerStBal,6))+R333,GL!BS333))),0)</f>
        <v>0</v>
      </c>
      <c r="CK333" s="425">
        <f ca="1">IF($BH333=0,IF($CO333="",CK332+T333,IF('283'!$K$251=1,IF(mname2&lt;&gt;"",VLOOKUP($CO333,PerStBal,3)+T333,0),IF('283'!$K$253=1,(VLOOKUP($CO333,PerPortion,3)*VLOOKUP($CO333,PerStBal,6))+T333,GL!BT333))),0)</f>
        <v>0</v>
      </c>
      <c r="CL333" s="425">
        <f ca="1">IF($BH333=0,IF($CO333="",CL332+V333,IF('283'!$K$251=1,IF(mname3&lt;&gt;"",VLOOKUP($CO333,PerStBal,4)+V333,0),IF('283'!$K$253=1,(VLOOKUP($CO333,PerPortion,4)*VLOOKUP($CO333,PerStBal,6))+V333,GL!BU333))),0)</f>
        <v>0</v>
      </c>
      <c r="CM333" s="425">
        <f ca="1">IF($BH333=0,IF($CO333="",CM332+X333,IF('283'!$K$251=1,IF(mname4&lt;&gt;"",VLOOKUP($CO333,PerStBal,5)+X333,0),IF('283'!$K$253=1,(VLOOKUP($CO333,PerPortion,5)*VLOOKUP($CO333,PerStBal,6))+X333,GL!BV333))),0)</f>
        <v>0</v>
      </c>
      <c r="CN333" s="50">
        <f t="shared" ca="1" si="448"/>
        <v>0</v>
      </c>
      <c r="CO333" s="4" t="str">
        <f t="shared" ca="1" si="449"/>
        <v/>
      </c>
      <c r="CP333" s="377">
        <f t="shared" si="410"/>
        <v>0</v>
      </c>
      <c r="DI333" s="4">
        <f t="shared" si="450"/>
        <v>45437</v>
      </c>
      <c r="DJ333" s="112">
        <f t="shared" ca="1" si="451"/>
        <v>0</v>
      </c>
      <c r="DK333" s="112">
        <f t="shared" si="452"/>
        <v>0</v>
      </c>
      <c r="DL333" s="4">
        <f t="shared" si="453"/>
        <v>45437</v>
      </c>
      <c r="DM333" s="112">
        <f t="shared" ca="1" si="454"/>
        <v>0</v>
      </c>
      <c r="DN333" s="112">
        <f t="shared" si="455"/>
        <v>0</v>
      </c>
      <c r="DO333" s="4">
        <f t="shared" si="456"/>
        <v>45437</v>
      </c>
      <c r="DP333" s="112">
        <f t="shared" ca="1" si="457"/>
        <v>0</v>
      </c>
      <c r="DQ333" s="112">
        <f t="shared" si="458"/>
        <v>0</v>
      </c>
      <c r="DR333" s="4">
        <f t="shared" si="459"/>
        <v>45437</v>
      </c>
      <c r="DS333" s="112">
        <f t="shared" ca="1" si="460"/>
        <v>0</v>
      </c>
      <c r="DT333" s="112">
        <f t="shared" si="461"/>
        <v>0</v>
      </c>
      <c r="DU333" s="4">
        <f t="shared" si="462"/>
        <v>45437</v>
      </c>
      <c r="DV333" s="112">
        <f t="shared" si="463"/>
        <v>0</v>
      </c>
      <c r="DW333" s="112">
        <f t="shared" si="464"/>
        <v>0</v>
      </c>
    </row>
    <row r="334" spans="4:127" x14ac:dyDescent="0.25">
      <c r="Q334" s="4">
        <f t="shared" si="411"/>
        <v>45438</v>
      </c>
      <c r="R334" s="24">
        <f t="shared" si="412"/>
        <v>0</v>
      </c>
      <c r="S334" s="25">
        <f t="shared" si="413"/>
        <v>0</v>
      </c>
      <c r="T334" s="24">
        <f t="shared" si="414"/>
        <v>0</v>
      </c>
      <c r="U334" s="25">
        <f t="shared" si="415"/>
        <v>0</v>
      </c>
      <c r="V334" s="24">
        <f t="shared" si="416"/>
        <v>0</v>
      </c>
      <c r="W334" s="25">
        <f t="shared" si="417"/>
        <v>0</v>
      </c>
      <c r="X334" s="24">
        <f t="shared" si="418"/>
        <v>0</v>
      </c>
      <c r="Y334" s="26">
        <f t="shared" si="419"/>
        <v>0</v>
      </c>
      <c r="Z334" s="27">
        <f t="shared" si="420"/>
        <v>0</v>
      </c>
      <c r="AA334" s="28">
        <f t="shared" si="421"/>
        <v>45438</v>
      </c>
      <c r="AB334" s="24">
        <f t="shared" si="422"/>
        <v>0</v>
      </c>
      <c r="AC334" s="25">
        <f t="shared" si="423"/>
        <v>0</v>
      </c>
      <c r="AD334" s="28">
        <f t="shared" si="424"/>
        <v>45438</v>
      </c>
      <c r="AE334" s="24">
        <f t="shared" si="425"/>
        <v>0</v>
      </c>
      <c r="AF334" s="25">
        <f t="shared" si="426"/>
        <v>0</v>
      </c>
      <c r="AG334" s="28">
        <f t="shared" si="427"/>
        <v>45438</v>
      </c>
      <c r="AH334" s="24">
        <f t="shared" si="428"/>
        <v>0</v>
      </c>
      <c r="AI334" s="25">
        <f t="shared" si="429"/>
        <v>0</v>
      </c>
      <c r="AJ334" s="28">
        <f t="shared" si="430"/>
        <v>45438</v>
      </c>
      <c r="AK334" s="24">
        <f t="shared" si="431"/>
        <v>0</v>
      </c>
      <c r="AL334" s="25">
        <f t="shared" si="432"/>
        <v>0</v>
      </c>
      <c r="AM334" s="29">
        <f t="shared" si="433"/>
        <v>0</v>
      </c>
      <c r="AN334" s="28">
        <f t="shared" si="434"/>
        <v>45438</v>
      </c>
      <c r="AO334" s="373">
        <f t="shared" si="403"/>
        <v>0</v>
      </c>
      <c r="AP334" s="374">
        <f t="shared" si="404"/>
        <v>0</v>
      </c>
      <c r="AQ334" s="27">
        <f t="shared" si="405"/>
        <v>0</v>
      </c>
      <c r="AR334" s="25">
        <f t="shared" si="406"/>
        <v>0</v>
      </c>
      <c r="AS334" s="25">
        <f t="shared" si="407"/>
        <v>0</v>
      </c>
      <c r="AT334" s="25">
        <f t="shared" si="408"/>
        <v>0</v>
      </c>
      <c r="AU334" s="29">
        <f t="shared" si="465"/>
        <v>0</v>
      </c>
      <c r="AV334" s="27">
        <f t="shared" si="435"/>
        <v>0</v>
      </c>
      <c r="AW334" s="27">
        <f t="shared" si="436"/>
        <v>0</v>
      </c>
      <c r="AX334" s="27">
        <f t="shared" si="437"/>
        <v>0</v>
      </c>
      <c r="AY334" s="27">
        <f t="shared" si="438"/>
        <v>0</v>
      </c>
      <c r="BH334" s="2">
        <f t="shared" si="439"/>
        <v>0</v>
      </c>
      <c r="BI334" s="298" t="str">
        <f t="shared" si="440"/>
        <v/>
      </c>
      <c r="BJ334" s="298" t="str">
        <f t="shared" si="409"/>
        <v/>
      </c>
      <c r="BQ334" s="4">
        <f t="shared" si="441"/>
        <v>45438</v>
      </c>
      <c r="BR334" s="112">
        <f t="shared" si="442"/>
        <v>0</v>
      </c>
      <c r="BS334" s="112">
        <f t="shared" si="443"/>
        <v>0</v>
      </c>
      <c r="BT334" s="112">
        <f t="shared" si="444"/>
        <v>0</v>
      </c>
      <c r="BU334" s="112">
        <f t="shared" si="445"/>
        <v>0</v>
      </c>
      <c r="BV334" s="112">
        <f t="shared" si="446"/>
        <v>0</v>
      </c>
      <c r="CI334" s="4">
        <f t="shared" si="447"/>
        <v>45438</v>
      </c>
      <c r="CJ334" s="50">
        <f ca="1">IF($BH334=0,IF($CO334="",CJ333+R334,IF('283'!$K$251=1,VLOOKUP($CO334,PerStBal,2)+R334,IF('283'!$K$253=1,(VLOOKUP($CO334,PerPortion,2)*VLOOKUP($CO334,PerStBal,6))+R334,GL!BS334))),0)</f>
        <v>0</v>
      </c>
      <c r="CK334" s="425">
        <f ca="1">IF($BH334=0,IF($CO334="",CK333+T334,IF('283'!$K$251=1,IF(mname2&lt;&gt;"",VLOOKUP($CO334,PerStBal,3)+T334,0),IF('283'!$K$253=1,(VLOOKUP($CO334,PerPortion,3)*VLOOKUP($CO334,PerStBal,6))+T334,GL!BT334))),0)</f>
        <v>0</v>
      </c>
      <c r="CL334" s="425">
        <f ca="1">IF($BH334=0,IF($CO334="",CL333+V334,IF('283'!$K$251=1,IF(mname3&lt;&gt;"",VLOOKUP($CO334,PerStBal,4)+V334,0),IF('283'!$K$253=1,(VLOOKUP($CO334,PerPortion,4)*VLOOKUP($CO334,PerStBal,6))+V334,GL!BU334))),0)</f>
        <v>0</v>
      </c>
      <c r="CM334" s="425">
        <f ca="1">IF($BH334=0,IF($CO334="",CM333+X334,IF('283'!$K$251=1,IF(mname4&lt;&gt;"",VLOOKUP($CO334,PerStBal,5)+X334,0),IF('283'!$K$253=1,(VLOOKUP($CO334,PerPortion,5)*VLOOKUP($CO334,PerStBal,6))+X334,GL!BV334))),0)</f>
        <v>0</v>
      </c>
      <c r="CN334" s="50">
        <f t="shared" ca="1" si="448"/>
        <v>0</v>
      </c>
      <c r="CO334" s="4" t="str">
        <f t="shared" ca="1" si="449"/>
        <v/>
      </c>
      <c r="CP334" s="377">
        <f t="shared" si="410"/>
        <v>0</v>
      </c>
      <c r="DI334" s="4">
        <f t="shared" si="450"/>
        <v>45438</v>
      </c>
      <c r="DJ334" s="112">
        <f t="shared" ca="1" si="451"/>
        <v>0</v>
      </c>
      <c r="DK334" s="112">
        <f t="shared" si="452"/>
        <v>0</v>
      </c>
      <c r="DL334" s="4">
        <f t="shared" si="453"/>
        <v>45438</v>
      </c>
      <c r="DM334" s="112">
        <f t="shared" ca="1" si="454"/>
        <v>0</v>
      </c>
      <c r="DN334" s="112">
        <f t="shared" si="455"/>
        <v>0</v>
      </c>
      <c r="DO334" s="4">
        <f t="shared" si="456"/>
        <v>45438</v>
      </c>
      <c r="DP334" s="112">
        <f t="shared" ca="1" si="457"/>
        <v>0</v>
      </c>
      <c r="DQ334" s="112">
        <f t="shared" si="458"/>
        <v>0</v>
      </c>
      <c r="DR334" s="4">
        <f t="shared" si="459"/>
        <v>45438</v>
      </c>
      <c r="DS334" s="112">
        <f t="shared" ca="1" si="460"/>
        <v>0</v>
      </c>
      <c r="DT334" s="112">
        <f t="shared" si="461"/>
        <v>0</v>
      </c>
      <c r="DU334" s="4">
        <f t="shared" si="462"/>
        <v>45438</v>
      </c>
      <c r="DV334" s="112">
        <f t="shared" si="463"/>
        <v>0</v>
      </c>
      <c r="DW334" s="112">
        <f t="shared" si="464"/>
        <v>0</v>
      </c>
    </row>
    <row r="335" spans="4:127" x14ac:dyDescent="0.25">
      <c r="Q335" s="4">
        <f t="shared" si="411"/>
        <v>45439</v>
      </c>
      <c r="R335" s="24">
        <f t="shared" si="412"/>
        <v>0</v>
      </c>
      <c r="S335" s="25">
        <f t="shared" si="413"/>
        <v>0</v>
      </c>
      <c r="T335" s="24">
        <f t="shared" si="414"/>
        <v>0</v>
      </c>
      <c r="U335" s="25">
        <f t="shared" si="415"/>
        <v>0</v>
      </c>
      <c r="V335" s="24">
        <f t="shared" si="416"/>
        <v>0</v>
      </c>
      <c r="W335" s="25">
        <f t="shared" si="417"/>
        <v>0</v>
      </c>
      <c r="X335" s="24">
        <f t="shared" si="418"/>
        <v>0</v>
      </c>
      <c r="Y335" s="26">
        <f t="shared" si="419"/>
        <v>0</v>
      </c>
      <c r="Z335" s="27">
        <f t="shared" si="420"/>
        <v>0</v>
      </c>
      <c r="AA335" s="28">
        <f t="shared" si="421"/>
        <v>45439</v>
      </c>
      <c r="AB335" s="24">
        <f t="shared" si="422"/>
        <v>0</v>
      </c>
      <c r="AC335" s="25">
        <f t="shared" si="423"/>
        <v>0</v>
      </c>
      <c r="AD335" s="28">
        <f t="shared" si="424"/>
        <v>45439</v>
      </c>
      <c r="AE335" s="24">
        <f t="shared" si="425"/>
        <v>0</v>
      </c>
      <c r="AF335" s="25">
        <f t="shared" si="426"/>
        <v>0</v>
      </c>
      <c r="AG335" s="28">
        <f t="shared" si="427"/>
        <v>45439</v>
      </c>
      <c r="AH335" s="24">
        <f t="shared" si="428"/>
        <v>0</v>
      </c>
      <c r="AI335" s="25">
        <f t="shared" si="429"/>
        <v>0</v>
      </c>
      <c r="AJ335" s="28">
        <f t="shared" si="430"/>
        <v>45439</v>
      </c>
      <c r="AK335" s="24">
        <f t="shared" si="431"/>
        <v>0</v>
      </c>
      <c r="AL335" s="25">
        <f t="shared" si="432"/>
        <v>0</v>
      </c>
      <c r="AM335" s="29">
        <f t="shared" si="433"/>
        <v>0</v>
      </c>
      <c r="AN335" s="28">
        <f t="shared" si="434"/>
        <v>45439</v>
      </c>
      <c r="AO335" s="373">
        <f t="shared" si="403"/>
        <v>0</v>
      </c>
      <c r="AP335" s="374">
        <f t="shared" si="404"/>
        <v>0</v>
      </c>
      <c r="AQ335" s="27">
        <f t="shared" si="405"/>
        <v>0</v>
      </c>
      <c r="AR335" s="25">
        <f t="shared" si="406"/>
        <v>0</v>
      </c>
      <c r="AS335" s="25">
        <f t="shared" si="407"/>
        <v>0</v>
      </c>
      <c r="AT335" s="25">
        <f t="shared" si="408"/>
        <v>0</v>
      </c>
      <c r="AU335" s="29">
        <f t="shared" si="465"/>
        <v>0</v>
      </c>
      <c r="AV335" s="27">
        <f t="shared" si="435"/>
        <v>0</v>
      </c>
      <c r="AW335" s="27">
        <f t="shared" si="436"/>
        <v>0</v>
      </c>
      <c r="AX335" s="27">
        <f t="shared" si="437"/>
        <v>0</v>
      </c>
      <c r="AY335" s="27">
        <f t="shared" si="438"/>
        <v>0</v>
      </c>
      <c r="BH335" s="2">
        <f t="shared" si="439"/>
        <v>0</v>
      </c>
      <c r="BI335" s="298" t="str">
        <f t="shared" si="440"/>
        <v/>
      </c>
      <c r="BJ335" s="298" t="str">
        <f t="shared" si="409"/>
        <v/>
      </c>
      <c r="BQ335" s="4">
        <f t="shared" si="441"/>
        <v>45439</v>
      </c>
      <c r="BR335" s="112">
        <f t="shared" si="442"/>
        <v>0</v>
      </c>
      <c r="BS335" s="112">
        <f t="shared" si="443"/>
        <v>0</v>
      </c>
      <c r="BT335" s="112">
        <f t="shared" si="444"/>
        <v>0</v>
      </c>
      <c r="BU335" s="112">
        <f t="shared" si="445"/>
        <v>0</v>
      </c>
      <c r="BV335" s="112">
        <f t="shared" si="446"/>
        <v>0</v>
      </c>
      <c r="CI335" s="4">
        <f t="shared" si="447"/>
        <v>45439</v>
      </c>
      <c r="CJ335" s="50">
        <f ca="1">IF($BH335=0,IF($CO335="",CJ334+R335,IF('283'!$K$251=1,VLOOKUP($CO335,PerStBal,2)+R335,IF('283'!$K$253=1,(VLOOKUP($CO335,PerPortion,2)*VLOOKUP($CO335,PerStBal,6))+R335,GL!BS335))),0)</f>
        <v>0</v>
      </c>
      <c r="CK335" s="425">
        <f ca="1">IF($BH335=0,IF($CO335="",CK334+T335,IF('283'!$K$251=1,IF(mname2&lt;&gt;"",VLOOKUP($CO335,PerStBal,3)+T335,0),IF('283'!$K$253=1,(VLOOKUP($CO335,PerPortion,3)*VLOOKUP($CO335,PerStBal,6))+T335,GL!BT335))),0)</f>
        <v>0</v>
      </c>
      <c r="CL335" s="425">
        <f ca="1">IF($BH335=0,IF($CO335="",CL334+V335,IF('283'!$K$251=1,IF(mname3&lt;&gt;"",VLOOKUP($CO335,PerStBal,4)+V335,0),IF('283'!$K$253=1,(VLOOKUP($CO335,PerPortion,4)*VLOOKUP($CO335,PerStBal,6))+V335,GL!BU335))),0)</f>
        <v>0</v>
      </c>
      <c r="CM335" s="425">
        <f ca="1">IF($BH335=0,IF($CO335="",CM334+X335,IF('283'!$K$251=1,IF(mname4&lt;&gt;"",VLOOKUP($CO335,PerStBal,5)+X335,0),IF('283'!$K$253=1,(VLOOKUP($CO335,PerPortion,5)*VLOOKUP($CO335,PerStBal,6))+X335,GL!BV335))),0)</f>
        <v>0</v>
      </c>
      <c r="CN335" s="50">
        <f t="shared" ca="1" si="448"/>
        <v>0</v>
      </c>
      <c r="CO335" s="4" t="str">
        <f t="shared" ca="1" si="449"/>
        <v/>
      </c>
      <c r="CP335" s="377">
        <f t="shared" si="410"/>
        <v>0</v>
      </c>
      <c r="DI335" s="4">
        <f t="shared" si="450"/>
        <v>45439</v>
      </c>
      <c r="DJ335" s="112">
        <f t="shared" ca="1" si="451"/>
        <v>0</v>
      </c>
      <c r="DK335" s="112">
        <f t="shared" si="452"/>
        <v>0</v>
      </c>
      <c r="DL335" s="4">
        <f t="shared" si="453"/>
        <v>45439</v>
      </c>
      <c r="DM335" s="112">
        <f t="shared" ca="1" si="454"/>
        <v>0</v>
      </c>
      <c r="DN335" s="112">
        <f t="shared" si="455"/>
        <v>0</v>
      </c>
      <c r="DO335" s="4">
        <f t="shared" si="456"/>
        <v>45439</v>
      </c>
      <c r="DP335" s="112">
        <f t="shared" ca="1" si="457"/>
        <v>0</v>
      </c>
      <c r="DQ335" s="112">
        <f t="shared" si="458"/>
        <v>0</v>
      </c>
      <c r="DR335" s="4">
        <f t="shared" si="459"/>
        <v>45439</v>
      </c>
      <c r="DS335" s="112">
        <f t="shared" ca="1" si="460"/>
        <v>0</v>
      </c>
      <c r="DT335" s="112">
        <f t="shared" si="461"/>
        <v>0</v>
      </c>
      <c r="DU335" s="4">
        <f t="shared" si="462"/>
        <v>45439</v>
      </c>
      <c r="DV335" s="112">
        <f t="shared" si="463"/>
        <v>0</v>
      </c>
      <c r="DW335" s="112">
        <f t="shared" si="464"/>
        <v>0</v>
      </c>
    </row>
    <row r="336" spans="4:127" x14ac:dyDescent="0.25">
      <c r="Q336" s="4">
        <f t="shared" si="411"/>
        <v>45440</v>
      </c>
      <c r="R336" s="24">
        <f t="shared" si="412"/>
        <v>0</v>
      </c>
      <c r="S336" s="25">
        <f t="shared" si="413"/>
        <v>0</v>
      </c>
      <c r="T336" s="24">
        <f t="shared" si="414"/>
        <v>0</v>
      </c>
      <c r="U336" s="25">
        <f t="shared" si="415"/>
        <v>0</v>
      </c>
      <c r="V336" s="24">
        <f t="shared" si="416"/>
        <v>0</v>
      </c>
      <c r="W336" s="25">
        <f t="shared" si="417"/>
        <v>0</v>
      </c>
      <c r="X336" s="24">
        <f t="shared" si="418"/>
        <v>0</v>
      </c>
      <c r="Y336" s="26">
        <f t="shared" si="419"/>
        <v>0</v>
      </c>
      <c r="Z336" s="27">
        <f t="shared" si="420"/>
        <v>0</v>
      </c>
      <c r="AA336" s="28">
        <f t="shared" si="421"/>
        <v>45440</v>
      </c>
      <c r="AB336" s="24">
        <f t="shared" si="422"/>
        <v>0</v>
      </c>
      <c r="AC336" s="25">
        <f t="shared" si="423"/>
        <v>0</v>
      </c>
      <c r="AD336" s="28">
        <f t="shared" si="424"/>
        <v>45440</v>
      </c>
      <c r="AE336" s="24">
        <f t="shared" si="425"/>
        <v>0</v>
      </c>
      <c r="AF336" s="25">
        <f t="shared" si="426"/>
        <v>0</v>
      </c>
      <c r="AG336" s="28">
        <f t="shared" si="427"/>
        <v>45440</v>
      </c>
      <c r="AH336" s="24">
        <f t="shared" si="428"/>
        <v>0</v>
      </c>
      <c r="AI336" s="25">
        <f t="shared" si="429"/>
        <v>0</v>
      </c>
      <c r="AJ336" s="28">
        <f t="shared" si="430"/>
        <v>45440</v>
      </c>
      <c r="AK336" s="24">
        <f t="shared" si="431"/>
        <v>0</v>
      </c>
      <c r="AL336" s="25">
        <f t="shared" si="432"/>
        <v>0</v>
      </c>
      <c r="AM336" s="29">
        <f t="shared" si="433"/>
        <v>0</v>
      </c>
      <c r="AN336" s="28">
        <f t="shared" si="434"/>
        <v>45440</v>
      </c>
      <c r="AO336" s="373">
        <f t="shared" si="403"/>
        <v>0</v>
      </c>
      <c r="AP336" s="374">
        <f t="shared" si="404"/>
        <v>0</v>
      </c>
      <c r="AQ336" s="27">
        <f t="shared" si="405"/>
        <v>0</v>
      </c>
      <c r="AR336" s="25">
        <f t="shared" si="406"/>
        <v>0</v>
      </c>
      <c r="AS336" s="25">
        <f t="shared" si="407"/>
        <v>0</v>
      </c>
      <c r="AT336" s="25">
        <f t="shared" si="408"/>
        <v>0</v>
      </c>
      <c r="AU336" s="29">
        <f t="shared" si="465"/>
        <v>0</v>
      </c>
      <c r="AV336" s="27">
        <f t="shared" si="435"/>
        <v>0</v>
      </c>
      <c r="AW336" s="27">
        <f t="shared" si="436"/>
        <v>0</v>
      </c>
      <c r="AX336" s="27">
        <f t="shared" si="437"/>
        <v>0</v>
      </c>
      <c r="AY336" s="27">
        <f t="shared" si="438"/>
        <v>0</v>
      </c>
      <c r="BH336" s="2">
        <f t="shared" si="439"/>
        <v>0</v>
      </c>
      <c r="BI336" s="298" t="str">
        <f t="shared" si="440"/>
        <v/>
      </c>
      <c r="BJ336" s="298" t="str">
        <f t="shared" si="409"/>
        <v/>
      </c>
      <c r="BQ336" s="4">
        <f t="shared" si="441"/>
        <v>45440</v>
      </c>
      <c r="BR336" s="112">
        <f t="shared" si="442"/>
        <v>0</v>
      </c>
      <c r="BS336" s="112">
        <f t="shared" si="443"/>
        <v>0</v>
      </c>
      <c r="BT336" s="112">
        <f t="shared" si="444"/>
        <v>0</v>
      </c>
      <c r="BU336" s="112">
        <f t="shared" si="445"/>
        <v>0</v>
      </c>
      <c r="BV336" s="112">
        <f t="shared" si="446"/>
        <v>0</v>
      </c>
      <c r="CI336" s="4">
        <f t="shared" si="447"/>
        <v>45440</v>
      </c>
      <c r="CJ336" s="50">
        <f ca="1">IF($BH336=0,IF($CO336="",CJ335+R336,IF('283'!$K$251=1,VLOOKUP($CO336,PerStBal,2)+R336,IF('283'!$K$253=1,(VLOOKUP($CO336,PerPortion,2)*VLOOKUP($CO336,PerStBal,6))+R336,GL!BS336))),0)</f>
        <v>0</v>
      </c>
      <c r="CK336" s="425">
        <f ca="1">IF($BH336=0,IF($CO336="",CK335+T336,IF('283'!$K$251=1,IF(mname2&lt;&gt;"",VLOOKUP($CO336,PerStBal,3)+T336,0),IF('283'!$K$253=1,(VLOOKUP($CO336,PerPortion,3)*VLOOKUP($CO336,PerStBal,6))+T336,GL!BT336))),0)</f>
        <v>0</v>
      </c>
      <c r="CL336" s="425">
        <f ca="1">IF($BH336=0,IF($CO336="",CL335+V336,IF('283'!$K$251=1,IF(mname3&lt;&gt;"",VLOOKUP($CO336,PerStBal,4)+V336,0),IF('283'!$K$253=1,(VLOOKUP($CO336,PerPortion,4)*VLOOKUP($CO336,PerStBal,6))+V336,GL!BU336))),0)</f>
        <v>0</v>
      </c>
      <c r="CM336" s="425">
        <f ca="1">IF($BH336=0,IF($CO336="",CM335+X336,IF('283'!$K$251=1,IF(mname4&lt;&gt;"",VLOOKUP($CO336,PerStBal,5)+X336,0),IF('283'!$K$253=1,(VLOOKUP($CO336,PerPortion,5)*VLOOKUP($CO336,PerStBal,6))+X336,GL!BV336))),0)</f>
        <v>0</v>
      </c>
      <c r="CN336" s="50">
        <f t="shared" ca="1" si="448"/>
        <v>0</v>
      </c>
      <c r="CO336" s="4" t="str">
        <f t="shared" ca="1" si="449"/>
        <v/>
      </c>
      <c r="CP336" s="377">
        <f t="shared" si="410"/>
        <v>0</v>
      </c>
      <c r="DI336" s="4">
        <f t="shared" si="450"/>
        <v>45440</v>
      </c>
      <c r="DJ336" s="112">
        <f t="shared" ca="1" si="451"/>
        <v>0</v>
      </c>
      <c r="DK336" s="112">
        <f t="shared" si="452"/>
        <v>0</v>
      </c>
      <c r="DL336" s="4">
        <f t="shared" si="453"/>
        <v>45440</v>
      </c>
      <c r="DM336" s="112">
        <f t="shared" ca="1" si="454"/>
        <v>0</v>
      </c>
      <c r="DN336" s="112">
        <f t="shared" si="455"/>
        <v>0</v>
      </c>
      <c r="DO336" s="4">
        <f t="shared" si="456"/>
        <v>45440</v>
      </c>
      <c r="DP336" s="112">
        <f t="shared" ca="1" si="457"/>
        <v>0</v>
      </c>
      <c r="DQ336" s="112">
        <f t="shared" si="458"/>
        <v>0</v>
      </c>
      <c r="DR336" s="4">
        <f t="shared" si="459"/>
        <v>45440</v>
      </c>
      <c r="DS336" s="112">
        <f t="shared" ca="1" si="460"/>
        <v>0</v>
      </c>
      <c r="DT336" s="112">
        <f t="shared" si="461"/>
        <v>0</v>
      </c>
      <c r="DU336" s="4">
        <f t="shared" si="462"/>
        <v>45440</v>
      </c>
      <c r="DV336" s="112">
        <f t="shared" si="463"/>
        <v>0</v>
      </c>
      <c r="DW336" s="112">
        <f t="shared" si="464"/>
        <v>0</v>
      </c>
    </row>
    <row r="337" spans="17:127" x14ac:dyDescent="0.25">
      <c r="Q337" s="4">
        <f t="shared" si="411"/>
        <v>45441</v>
      </c>
      <c r="R337" s="24">
        <f t="shared" si="412"/>
        <v>0</v>
      </c>
      <c r="S337" s="25">
        <f t="shared" si="413"/>
        <v>0</v>
      </c>
      <c r="T337" s="24">
        <f t="shared" si="414"/>
        <v>0</v>
      </c>
      <c r="U337" s="25">
        <f t="shared" si="415"/>
        <v>0</v>
      </c>
      <c r="V337" s="24">
        <f t="shared" si="416"/>
        <v>0</v>
      </c>
      <c r="W337" s="25">
        <f t="shared" si="417"/>
        <v>0</v>
      </c>
      <c r="X337" s="24">
        <f t="shared" si="418"/>
        <v>0</v>
      </c>
      <c r="Y337" s="26">
        <f t="shared" si="419"/>
        <v>0</v>
      </c>
      <c r="Z337" s="27">
        <f t="shared" si="420"/>
        <v>0</v>
      </c>
      <c r="AA337" s="28">
        <f t="shared" si="421"/>
        <v>45441</v>
      </c>
      <c r="AB337" s="24">
        <f t="shared" si="422"/>
        <v>0</v>
      </c>
      <c r="AC337" s="25">
        <f t="shared" si="423"/>
        <v>0</v>
      </c>
      <c r="AD337" s="28">
        <f t="shared" si="424"/>
        <v>45441</v>
      </c>
      <c r="AE337" s="24">
        <f t="shared" si="425"/>
        <v>0</v>
      </c>
      <c r="AF337" s="25">
        <f t="shared" si="426"/>
        <v>0</v>
      </c>
      <c r="AG337" s="28">
        <f t="shared" si="427"/>
        <v>45441</v>
      </c>
      <c r="AH337" s="24">
        <f t="shared" si="428"/>
        <v>0</v>
      </c>
      <c r="AI337" s="25">
        <f t="shared" si="429"/>
        <v>0</v>
      </c>
      <c r="AJ337" s="28">
        <f t="shared" si="430"/>
        <v>45441</v>
      </c>
      <c r="AK337" s="24">
        <f t="shared" si="431"/>
        <v>0</v>
      </c>
      <c r="AL337" s="25">
        <f t="shared" si="432"/>
        <v>0</v>
      </c>
      <c r="AM337" s="29">
        <f t="shared" si="433"/>
        <v>0</v>
      </c>
      <c r="AN337" s="28">
        <f t="shared" si="434"/>
        <v>45441</v>
      </c>
      <c r="AO337" s="373">
        <f t="shared" si="403"/>
        <v>0</v>
      </c>
      <c r="AP337" s="374">
        <f t="shared" si="404"/>
        <v>0</v>
      </c>
      <c r="AQ337" s="27">
        <f t="shared" si="405"/>
        <v>0</v>
      </c>
      <c r="AR337" s="25">
        <f t="shared" si="406"/>
        <v>0</v>
      </c>
      <c r="AS337" s="25">
        <f t="shared" si="407"/>
        <v>0</v>
      </c>
      <c r="AT337" s="25">
        <f t="shared" si="408"/>
        <v>0</v>
      </c>
      <c r="AU337" s="29">
        <f t="shared" si="465"/>
        <v>0</v>
      </c>
      <c r="AV337" s="27">
        <f t="shared" si="435"/>
        <v>0</v>
      </c>
      <c r="AW337" s="27">
        <f t="shared" si="436"/>
        <v>0</v>
      </c>
      <c r="AX337" s="27">
        <f t="shared" si="437"/>
        <v>0</v>
      </c>
      <c r="AY337" s="27">
        <f t="shared" si="438"/>
        <v>0</v>
      </c>
      <c r="BH337" s="2">
        <f t="shared" si="439"/>
        <v>0</v>
      </c>
      <c r="BI337" s="298" t="str">
        <f t="shared" si="440"/>
        <v/>
      </c>
      <c r="BJ337" s="298" t="str">
        <f t="shared" si="409"/>
        <v/>
      </c>
      <c r="BQ337" s="4">
        <f t="shared" si="441"/>
        <v>45441</v>
      </c>
      <c r="BR337" s="112">
        <f t="shared" si="442"/>
        <v>0</v>
      </c>
      <c r="BS337" s="112">
        <f t="shared" si="443"/>
        <v>0</v>
      </c>
      <c r="BT337" s="112">
        <f t="shared" si="444"/>
        <v>0</v>
      </c>
      <c r="BU337" s="112">
        <f t="shared" si="445"/>
        <v>0</v>
      </c>
      <c r="BV337" s="112">
        <f t="shared" si="446"/>
        <v>0</v>
      </c>
      <c r="CI337" s="4">
        <f t="shared" si="447"/>
        <v>45441</v>
      </c>
      <c r="CJ337" s="50">
        <f ca="1">IF($BH337=0,IF($CO337="",CJ336+R337,IF('283'!$K$251=1,VLOOKUP($CO337,PerStBal,2)+R337,IF('283'!$K$253=1,(VLOOKUP($CO337,PerPortion,2)*VLOOKUP($CO337,PerStBal,6))+R337,GL!BS337))),0)</f>
        <v>0</v>
      </c>
      <c r="CK337" s="425">
        <f ca="1">IF($BH337=0,IF($CO337="",CK336+T337,IF('283'!$K$251=1,IF(mname2&lt;&gt;"",VLOOKUP($CO337,PerStBal,3)+T337,0),IF('283'!$K$253=1,(VLOOKUP($CO337,PerPortion,3)*VLOOKUP($CO337,PerStBal,6))+T337,GL!BT337))),0)</f>
        <v>0</v>
      </c>
      <c r="CL337" s="425">
        <f ca="1">IF($BH337=0,IF($CO337="",CL336+V337,IF('283'!$K$251=1,IF(mname3&lt;&gt;"",VLOOKUP($CO337,PerStBal,4)+V337,0),IF('283'!$K$253=1,(VLOOKUP($CO337,PerPortion,4)*VLOOKUP($CO337,PerStBal,6))+V337,GL!BU337))),0)</f>
        <v>0</v>
      </c>
      <c r="CM337" s="425">
        <f ca="1">IF($BH337=0,IF($CO337="",CM336+X337,IF('283'!$K$251=1,IF(mname4&lt;&gt;"",VLOOKUP($CO337,PerStBal,5)+X337,0),IF('283'!$K$253=1,(VLOOKUP($CO337,PerPortion,5)*VLOOKUP($CO337,PerStBal,6))+X337,GL!BV337))),0)</f>
        <v>0</v>
      </c>
      <c r="CN337" s="50">
        <f t="shared" ca="1" si="448"/>
        <v>0</v>
      </c>
      <c r="CO337" s="4" t="str">
        <f t="shared" ca="1" si="449"/>
        <v/>
      </c>
      <c r="CP337" s="377">
        <f t="shared" si="410"/>
        <v>0</v>
      </c>
      <c r="DI337" s="4">
        <f t="shared" si="450"/>
        <v>45441</v>
      </c>
      <c r="DJ337" s="112">
        <f t="shared" ca="1" si="451"/>
        <v>0</v>
      </c>
      <c r="DK337" s="112">
        <f t="shared" si="452"/>
        <v>0</v>
      </c>
      <c r="DL337" s="4">
        <f t="shared" si="453"/>
        <v>45441</v>
      </c>
      <c r="DM337" s="112">
        <f t="shared" ca="1" si="454"/>
        <v>0</v>
      </c>
      <c r="DN337" s="112">
        <f t="shared" si="455"/>
        <v>0</v>
      </c>
      <c r="DO337" s="4">
        <f t="shared" si="456"/>
        <v>45441</v>
      </c>
      <c r="DP337" s="112">
        <f t="shared" ca="1" si="457"/>
        <v>0</v>
      </c>
      <c r="DQ337" s="112">
        <f t="shared" si="458"/>
        <v>0</v>
      </c>
      <c r="DR337" s="4">
        <f t="shared" si="459"/>
        <v>45441</v>
      </c>
      <c r="DS337" s="112">
        <f t="shared" ca="1" si="460"/>
        <v>0</v>
      </c>
      <c r="DT337" s="112">
        <f t="shared" si="461"/>
        <v>0</v>
      </c>
      <c r="DU337" s="4">
        <f t="shared" si="462"/>
        <v>45441</v>
      </c>
      <c r="DV337" s="112">
        <f t="shared" si="463"/>
        <v>0</v>
      </c>
      <c r="DW337" s="112">
        <f t="shared" si="464"/>
        <v>0</v>
      </c>
    </row>
    <row r="338" spans="17:127" x14ac:dyDescent="0.25">
      <c r="Q338" s="4">
        <f t="shared" si="411"/>
        <v>45442</v>
      </c>
      <c r="R338" s="24">
        <f t="shared" si="412"/>
        <v>0</v>
      </c>
      <c r="S338" s="25">
        <f t="shared" si="413"/>
        <v>0</v>
      </c>
      <c r="T338" s="24">
        <f t="shared" si="414"/>
        <v>0</v>
      </c>
      <c r="U338" s="25">
        <f t="shared" si="415"/>
        <v>0</v>
      </c>
      <c r="V338" s="24">
        <f t="shared" si="416"/>
        <v>0</v>
      </c>
      <c r="W338" s="25">
        <f t="shared" si="417"/>
        <v>0</v>
      </c>
      <c r="X338" s="24">
        <f t="shared" si="418"/>
        <v>0</v>
      </c>
      <c r="Y338" s="26">
        <f t="shared" si="419"/>
        <v>0</v>
      </c>
      <c r="Z338" s="27">
        <f t="shared" si="420"/>
        <v>0</v>
      </c>
      <c r="AA338" s="28">
        <f t="shared" si="421"/>
        <v>45442</v>
      </c>
      <c r="AB338" s="24">
        <f t="shared" si="422"/>
        <v>0</v>
      </c>
      <c r="AC338" s="25">
        <f t="shared" si="423"/>
        <v>0</v>
      </c>
      <c r="AD338" s="28">
        <f t="shared" si="424"/>
        <v>45442</v>
      </c>
      <c r="AE338" s="24">
        <f t="shared" si="425"/>
        <v>0</v>
      </c>
      <c r="AF338" s="25">
        <f t="shared" si="426"/>
        <v>0</v>
      </c>
      <c r="AG338" s="28">
        <f t="shared" si="427"/>
        <v>45442</v>
      </c>
      <c r="AH338" s="24">
        <f t="shared" si="428"/>
        <v>0</v>
      </c>
      <c r="AI338" s="25">
        <f t="shared" si="429"/>
        <v>0</v>
      </c>
      <c r="AJ338" s="28">
        <f t="shared" si="430"/>
        <v>45442</v>
      </c>
      <c r="AK338" s="24">
        <f t="shared" si="431"/>
        <v>0</v>
      </c>
      <c r="AL338" s="25">
        <f t="shared" si="432"/>
        <v>0</v>
      </c>
      <c r="AM338" s="29">
        <f t="shared" si="433"/>
        <v>0</v>
      </c>
      <c r="AN338" s="28">
        <f t="shared" si="434"/>
        <v>45442</v>
      </c>
      <c r="AO338" s="373">
        <f t="shared" si="403"/>
        <v>0</v>
      </c>
      <c r="AP338" s="374">
        <f t="shared" si="404"/>
        <v>0</v>
      </c>
      <c r="AQ338" s="27">
        <f t="shared" si="405"/>
        <v>0</v>
      </c>
      <c r="AR338" s="25">
        <f t="shared" si="406"/>
        <v>0</v>
      </c>
      <c r="AS338" s="25">
        <f t="shared" si="407"/>
        <v>0</v>
      </c>
      <c r="AT338" s="25">
        <f t="shared" si="408"/>
        <v>0</v>
      </c>
      <c r="AU338" s="29">
        <f t="shared" si="465"/>
        <v>0</v>
      </c>
      <c r="AV338" s="27">
        <f t="shared" si="435"/>
        <v>0</v>
      </c>
      <c r="AW338" s="27">
        <f t="shared" si="436"/>
        <v>0</v>
      </c>
      <c r="AX338" s="27">
        <f t="shared" si="437"/>
        <v>0</v>
      </c>
      <c r="AY338" s="27">
        <f t="shared" si="438"/>
        <v>0</v>
      </c>
      <c r="BH338" s="2">
        <f t="shared" si="439"/>
        <v>0</v>
      </c>
      <c r="BI338" s="298" t="str">
        <f t="shared" si="440"/>
        <v/>
      </c>
      <c r="BJ338" s="298" t="str">
        <f t="shared" si="409"/>
        <v/>
      </c>
      <c r="BQ338" s="4">
        <f t="shared" si="441"/>
        <v>45442</v>
      </c>
      <c r="BR338" s="112">
        <f t="shared" si="442"/>
        <v>0</v>
      </c>
      <c r="BS338" s="112">
        <f t="shared" si="443"/>
        <v>0</v>
      </c>
      <c r="BT338" s="112">
        <f t="shared" si="444"/>
        <v>0</v>
      </c>
      <c r="BU338" s="112">
        <f t="shared" si="445"/>
        <v>0</v>
      </c>
      <c r="BV338" s="112">
        <f t="shared" si="446"/>
        <v>0</v>
      </c>
      <c r="CI338" s="4">
        <f t="shared" si="447"/>
        <v>45442</v>
      </c>
      <c r="CJ338" s="50">
        <f ca="1">IF($BH338=0,IF($CO338="",CJ337+R338,IF('283'!$K$251=1,VLOOKUP($CO338,PerStBal,2)+R338,IF('283'!$K$253=1,(VLOOKUP($CO338,PerPortion,2)*VLOOKUP($CO338,PerStBal,6))+R338,GL!BS338))),0)</f>
        <v>0</v>
      </c>
      <c r="CK338" s="425">
        <f ca="1">IF($BH338=0,IF($CO338="",CK337+T338,IF('283'!$K$251=1,IF(mname2&lt;&gt;"",VLOOKUP($CO338,PerStBal,3)+T338,0),IF('283'!$K$253=1,(VLOOKUP($CO338,PerPortion,3)*VLOOKUP($CO338,PerStBal,6))+T338,GL!BT338))),0)</f>
        <v>0</v>
      </c>
      <c r="CL338" s="425">
        <f ca="1">IF($BH338=0,IF($CO338="",CL337+V338,IF('283'!$K$251=1,IF(mname3&lt;&gt;"",VLOOKUP($CO338,PerStBal,4)+V338,0),IF('283'!$K$253=1,(VLOOKUP($CO338,PerPortion,4)*VLOOKUP($CO338,PerStBal,6))+V338,GL!BU338))),0)</f>
        <v>0</v>
      </c>
      <c r="CM338" s="425">
        <f ca="1">IF($BH338=0,IF($CO338="",CM337+X338,IF('283'!$K$251=1,IF(mname4&lt;&gt;"",VLOOKUP($CO338,PerStBal,5)+X338,0),IF('283'!$K$253=1,(VLOOKUP($CO338,PerPortion,5)*VLOOKUP($CO338,PerStBal,6))+X338,GL!BV338))),0)</f>
        <v>0</v>
      </c>
      <c r="CN338" s="50">
        <f t="shared" ca="1" si="448"/>
        <v>0</v>
      </c>
      <c r="CO338" s="4" t="str">
        <f t="shared" ca="1" si="449"/>
        <v/>
      </c>
      <c r="CP338" s="377">
        <f t="shared" si="410"/>
        <v>0</v>
      </c>
      <c r="DI338" s="4">
        <f t="shared" si="450"/>
        <v>45442</v>
      </c>
      <c r="DJ338" s="112">
        <f t="shared" ca="1" si="451"/>
        <v>0</v>
      </c>
      <c r="DK338" s="112">
        <f t="shared" si="452"/>
        <v>0</v>
      </c>
      <c r="DL338" s="4">
        <f t="shared" si="453"/>
        <v>45442</v>
      </c>
      <c r="DM338" s="112">
        <f t="shared" ca="1" si="454"/>
        <v>0</v>
      </c>
      <c r="DN338" s="112">
        <f t="shared" si="455"/>
        <v>0</v>
      </c>
      <c r="DO338" s="4">
        <f t="shared" si="456"/>
        <v>45442</v>
      </c>
      <c r="DP338" s="112">
        <f t="shared" ca="1" si="457"/>
        <v>0</v>
      </c>
      <c r="DQ338" s="112">
        <f t="shared" si="458"/>
        <v>0</v>
      </c>
      <c r="DR338" s="4">
        <f t="shared" si="459"/>
        <v>45442</v>
      </c>
      <c r="DS338" s="112">
        <f t="shared" ca="1" si="460"/>
        <v>0</v>
      </c>
      <c r="DT338" s="112">
        <f t="shared" si="461"/>
        <v>0</v>
      </c>
      <c r="DU338" s="4">
        <f t="shared" si="462"/>
        <v>45442</v>
      </c>
      <c r="DV338" s="112">
        <f t="shared" si="463"/>
        <v>0</v>
      </c>
      <c r="DW338" s="112">
        <f t="shared" si="464"/>
        <v>0</v>
      </c>
    </row>
    <row r="339" spans="17:127" x14ac:dyDescent="0.25">
      <c r="Q339" s="4">
        <f t="shared" si="411"/>
        <v>45443</v>
      </c>
      <c r="R339" s="24">
        <f t="shared" si="412"/>
        <v>0</v>
      </c>
      <c r="S339" s="25">
        <f t="shared" si="413"/>
        <v>0</v>
      </c>
      <c r="T339" s="24">
        <f t="shared" si="414"/>
        <v>0</v>
      </c>
      <c r="U339" s="25">
        <f t="shared" si="415"/>
        <v>0</v>
      </c>
      <c r="V339" s="24">
        <f t="shared" si="416"/>
        <v>0</v>
      </c>
      <c r="W339" s="25">
        <f t="shared" si="417"/>
        <v>0</v>
      </c>
      <c r="X339" s="24">
        <f t="shared" si="418"/>
        <v>0</v>
      </c>
      <c r="Y339" s="26">
        <f t="shared" si="419"/>
        <v>0</v>
      </c>
      <c r="Z339" s="27">
        <f t="shared" si="420"/>
        <v>0</v>
      </c>
      <c r="AA339" s="28">
        <f t="shared" si="421"/>
        <v>45443</v>
      </c>
      <c r="AB339" s="24">
        <f t="shared" si="422"/>
        <v>0</v>
      </c>
      <c r="AC339" s="25">
        <f t="shared" si="423"/>
        <v>0</v>
      </c>
      <c r="AD339" s="28">
        <f t="shared" si="424"/>
        <v>45443</v>
      </c>
      <c r="AE339" s="24">
        <f t="shared" si="425"/>
        <v>0</v>
      </c>
      <c r="AF339" s="25">
        <f t="shared" si="426"/>
        <v>0</v>
      </c>
      <c r="AG339" s="28">
        <f t="shared" si="427"/>
        <v>45443</v>
      </c>
      <c r="AH339" s="24">
        <f t="shared" si="428"/>
        <v>0</v>
      </c>
      <c r="AI339" s="25">
        <f t="shared" si="429"/>
        <v>0</v>
      </c>
      <c r="AJ339" s="28">
        <f t="shared" si="430"/>
        <v>45443</v>
      </c>
      <c r="AK339" s="24">
        <f t="shared" si="431"/>
        <v>0</v>
      </c>
      <c r="AL339" s="25">
        <f t="shared" si="432"/>
        <v>0</v>
      </c>
      <c r="AM339" s="29">
        <f t="shared" si="433"/>
        <v>0</v>
      </c>
      <c r="AN339" s="28">
        <f t="shared" si="434"/>
        <v>45443</v>
      </c>
      <c r="AO339" s="373">
        <f t="shared" si="403"/>
        <v>0</v>
      </c>
      <c r="AP339" s="374">
        <f t="shared" si="404"/>
        <v>0</v>
      </c>
      <c r="AQ339" s="27">
        <f t="shared" si="405"/>
        <v>0</v>
      </c>
      <c r="AR339" s="25">
        <f t="shared" si="406"/>
        <v>0</v>
      </c>
      <c r="AS339" s="25">
        <f t="shared" si="407"/>
        <v>0</v>
      </c>
      <c r="AT339" s="25">
        <f t="shared" si="408"/>
        <v>0</v>
      </c>
      <c r="AU339" s="29">
        <f t="shared" si="465"/>
        <v>0</v>
      </c>
      <c r="AV339" s="27">
        <f t="shared" si="435"/>
        <v>0</v>
      </c>
      <c r="AW339" s="27">
        <f t="shared" si="436"/>
        <v>0</v>
      </c>
      <c r="AX339" s="27">
        <f t="shared" si="437"/>
        <v>0</v>
      </c>
      <c r="AY339" s="27">
        <f t="shared" si="438"/>
        <v>0</v>
      </c>
      <c r="BH339" s="2">
        <f t="shared" si="439"/>
        <v>0</v>
      </c>
      <c r="BI339" s="298" t="str">
        <f t="shared" si="440"/>
        <v/>
      </c>
      <c r="BJ339" s="298" t="str">
        <f t="shared" si="409"/>
        <v/>
      </c>
      <c r="BQ339" s="4">
        <f t="shared" si="441"/>
        <v>45443</v>
      </c>
      <c r="BR339" s="112">
        <f t="shared" si="442"/>
        <v>0</v>
      </c>
      <c r="BS339" s="112">
        <f t="shared" si="443"/>
        <v>0</v>
      </c>
      <c r="BT339" s="112">
        <f t="shared" si="444"/>
        <v>0</v>
      </c>
      <c r="BU339" s="112">
        <f t="shared" si="445"/>
        <v>0</v>
      </c>
      <c r="BV339" s="112">
        <f t="shared" si="446"/>
        <v>0</v>
      </c>
      <c r="CI339" s="4">
        <f t="shared" si="447"/>
        <v>45443</v>
      </c>
      <c r="CJ339" s="50">
        <f ca="1">IF($BH339=0,IF($CO339="",CJ338+R339,IF('283'!$K$251=1,VLOOKUP($CO339,PerStBal,2)+R339,IF('283'!$K$253=1,(VLOOKUP($CO339,PerPortion,2)*VLOOKUP($CO339,PerStBal,6))+R339,GL!BS339))),0)</f>
        <v>0</v>
      </c>
      <c r="CK339" s="425">
        <f ca="1">IF($BH339=0,IF($CO339="",CK338+T339,IF('283'!$K$251=1,IF(mname2&lt;&gt;"",VLOOKUP($CO339,PerStBal,3)+T339,0),IF('283'!$K$253=1,(VLOOKUP($CO339,PerPortion,3)*VLOOKUP($CO339,PerStBal,6))+T339,GL!BT339))),0)</f>
        <v>0</v>
      </c>
      <c r="CL339" s="425">
        <f ca="1">IF($BH339=0,IF($CO339="",CL338+V339,IF('283'!$K$251=1,IF(mname3&lt;&gt;"",VLOOKUP($CO339,PerStBal,4)+V339,0),IF('283'!$K$253=1,(VLOOKUP($CO339,PerPortion,4)*VLOOKUP($CO339,PerStBal,6))+V339,GL!BU339))),0)</f>
        <v>0</v>
      </c>
      <c r="CM339" s="425">
        <f ca="1">IF($BH339=0,IF($CO339="",CM338+X339,IF('283'!$K$251=1,IF(mname4&lt;&gt;"",VLOOKUP($CO339,PerStBal,5)+X339,0),IF('283'!$K$253=1,(VLOOKUP($CO339,PerPortion,5)*VLOOKUP($CO339,PerStBal,6))+X339,GL!BV339))),0)</f>
        <v>0</v>
      </c>
      <c r="CN339" s="50">
        <f t="shared" ca="1" si="448"/>
        <v>0</v>
      </c>
      <c r="CO339" s="4" t="str">
        <f t="shared" ca="1" si="449"/>
        <v/>
      </c>
      <c r="CP339" s="377">
        <f t="shared" si="410"/>
        <v>0</v>
      </c>
      <c r="DI339" s="4">
        <f t="shared" si="450"/>
        <v>45443</v>
      </c>
      <c r="DJ339" s="112">
        <f t="shared" ca="1" si="451"/>
        <v>0</v>
      </c>
      <c r="DK339" s="112">
        <f t="shared" si="452"/>
        <v>0</v>
      </c>
      <c r="DL339" s="4">
        <f t="shared" si="453"/>
        <v>45443</v>
      </c>
      <c r="DM339" s="112">
        <f t="shared" ca="1" si="454"/>
        <v>0</v>
      </c>
      <c r="DN339" s="112">
        <f t="shared" si="455"/>
        <v>0</v>
      </c>
      <c r="DO339" s="4">
        <f t="shared" si="456"/>
        <v>45443</v>
      </c>
      <c r="DP339" s="112">
        <f t="shared" ca="1" si="457"/>
        <v>0</v>
      </c>
      <c r="DQ339" s="112">
        <f t="shared" si="458"/>
        <v>0</v>
      </c>
      <c r="DR339" s="4">
        <f t="shared" si="459"/>
        <v>45443</v>
      </c>
      <c r="DS339" s="112">
        <f t="shared" ca="1" si="460"/>
        <v>0</v>
      </c>
      <c r="DT339" s="112">
        <f t="shared" si="461"/>
        <v>0</v>
      </c>
      <c r="DU339" s="4">
        <f t="shared" si="462"/>
        <v>45443</v>
      </c>
      <c r="DV339" s="112">
        <f t="shared" si="463"/>
        <v>0</v>
      </c>
      <c r="DW339" s="112">
        <f t="shared" si="464"/>
        <v>0</v>
      </c>
    </row>
    <row r="340" spans="17:127" x14ac:dyDescent="0.25">
      <c r="Q340" s="4">
        <f t="shared" si="411"/>
        <v>45444</v>
      </c>
      <c r="R340" s="24">
        <f t="shared" si="412"/>
        <v>0</v>
      </c>
      <c r="S340" s="25">
        <f t="shared" si="413"/>
        <v>0</v>
      </c>
      <c r="T340" s="24">
        <f t="shared" si="414"/>
        <v>0</v>
      </c>
      <c r="U340" s="25">
        <f t="shared" si="415"/>
        <v>0</v>
      </c>
      <c r="V340" s="24">
        <f t="shared" si="416"/>
        <v>0</v>
      </c>
      <c r="W340" s="25">
        <f t="shared" si="417"/>
        <v>0</v>
      </c>
      <c r="X340" s="24">
        <f t="shared" si="418"/>
        <v>0</v>
      </c>
      <c r="Y340" s="26">
        <f t="shared" si="419"/>
        <v>0</v>
      </c>
      <c r="Z340" s="27">
        <f t="shared" si="420"/>
        <v>0</v>
      </c>
      <c r="AA340" s="28">
        <f t="shared" si="421"/>
        <v>45444</v>
      </c>
      <c r="AB340" s="24">
        <f t="shared" si="422"/>
        <v>0</v>
      </c>
      <c r="AC340" s="25">
        <f t="shared" si="423"/>
        <v>0</v>
      </c>
      <c r="AD340" s="28">
        <f t="shared" si="424"/>
        <v>45444</v>
      </c>
      <c r="AE340" s="24">
        <f t="shared" si="425"/>
        <v>0</v>
      </c>
      <c r="AF340" s="25">
        <f t="shared" si="426"/>
        <v>0</v>
      </c>
      <c r="AG340" s="28">
        <f t="shared" si="427"/>
        <v>45444</v>
      </c>
      <c r="AH340" s="24">
        <f t="shared" si="428"/>
        <v>0</v>
      </c>
      <c r="AI340" s="25">
        <f t="shared" si="429"/>
        <v>0</v>
      </c>
      <c r="AJ340" s="28">
        <f t="shared" si="430"/>
        <v>45444</v>
      </c>
      <c r="AK340" s="24">
        <f t="shared" si="431"/>
        <v>0</v>
      </c>
      <c r="AL340" s="25">
        <f t="shared" si="432"/>
        <v>0</v>
      </c>
      <c r="AM340" s="29">
        <f t="shared" si="433"/>
        <v>0</v>
      </c>
      <c r="AN340" s="28">
        <f t="shared" si="434"/>
        <v>45444</v>
      </c>
      <c r="AO340" s="373">
        <f t="shared" si="403"/>
        <v>0</v>
      </c>
      <c r="AP340" s="374">
        <f t="shared" si="404"/>
        <v>0</v>
      </c>
      <c r="AQ340" s="27">
        <f t="shared" si="405"/>
        <v>0</v>
      </c>
      <c r="AR340" s="25">
        <f t="shared" si="406"/>
        <v>0</v>
      </c>
      <c r="AS340" s="25">
        <f t="shared" si="407"/>
        <v>0</v>
      </c>
      <c r="AT340" s="25">
        <f t="shared" si="408"/>
        <v>0</v>
      </c>
      <c r="AU340" s="29">
        <f t="shared" si="465"/>
        <v>0</v>
      </c>
      <c r="AV340" s="27">
        <f t="shared" si="435"/>
        <v>0</v>
      </c>
      <c r="AW340" s="27">
        <f t="shared" si="436"/>
        <v>0</v>
      </c>
      <c r="AX340" s="27">
        <f t="shared" si="437"/>
        <v>0</v>
      </c>
      <c r="AY340" s="27">
        <f t="shared" si="438"/>
        <v>0</v>
      </c>
      <c r="BH340" s="2">
        <f t="shared" si="439"/>
        <v>0</v>
      </c>
      <c r="BI340" s="298" t="str">
        <f t="shared" si="440"/>
        <v/>
      </c>
      <c r="BJ340" s="298" t="str">
        <f t="shared" si="409"/>
        <v/>
      </c>
      <c r="BQ340" s="4">
        <f t="shared" si="441"/>
        <v>45444</v>
      </c>
      <c r="BR340" s="112">
        <f t="shared" si="442"/>
        <v>0</v>
      </c>
      <c r="BS340" s="112">
        <f t="shared" si="443"/>
        <v>0</v>
      </c>
      <c r="BT340" s="112">
        <f t="shared" si="444"/>
        <v>0</v>
      </c>
      <c r="BU340" s="112">
        <f t="shared" si="445"/>
        <v>0</v>
      </c>
      <c r="BV340" s="112">
        <f t="shared" si="446"/>
        <v>0</v>
      </c>
      <c r="CI340" s="4">
        <f t="shared" si="447"/>
        <v>45444</v>
      </c>
      <c r="CJ340" s="50">
        <f ca="1">IF($BH340=0,IF($CO340="",CJ339+R340,IF('283'!$K$251=1,VLOOKUP($CO340,PerStBal,2)+R340,IF('283'!$K$253=1,(VLOOKUP($CO340,PerPortion,2)*VLOOKUP($CO340,PerStBal,6))+R340,GL!BS340))),0)</f>
        <v>0</v>
      </c>
      <c r="CK340" s="425">
        <f ca="1">IF($BH340=0,IF($CO340="",CK339+T340,IF('283'!$K$251=1,IF(mname2&lt;&gt;"",VLOOKUP($CO340,PerStBal,3)+T340,0),IF('283'!$K$253=1,(VLOOKUP($CO340,PerPortion,3)*VLOOKUP($CO340,PerStBal,6))+T340,GL!BT340))),0)</f>
        <v>0</v>
      </c>
      <c r="CL340" s="425">
        <f ca="1">IF($BH340=0,IF($CO340="",CL339+V340,IF('283'!$K$251=1,IF(mname3&lt;&gt;"",VLOOKUP($CO340,PerStBal,4)+V340,0),IF('283'!$K$253=1,(VLOOKUP($CO340,PerPortion,4)*VLOOKUP($CO340,PerStBal,6))+V340,GL!BU340))),0)</f>
        <v>0</v>
      </c>
      <c r="CM340" s="425">
        <f ca="1">IF($BH340=0,IF($CO340="",CM339+X340,IF('283'!$K$251=1,IF(mname4&lt;&gt;"",VLOOKUP($CO340,PerStBal,5)+X340,0),IF('283'!$K$253=1,(VLOOKUP($CO340,PerPortion,5)*VLOOKUP($CO340,PerStBal,6))+X340,GL!BV340))),0)</f>
        <v>0</v>
      </c>
      <c r="CN340" s="50">
        <f t="shared" ca="1" si="448"/>
        <v>0</v>
      </c>
      <c r="CO340" s="4" t="str">
        <f t="shared" ca="1" si="449"/>
        <v/>
      </c>
      <c r="CP340" s="377">
        <f t="shared" si="410"/>
        <v>0</v>
      </c>
      <c r="DI340" s="4">
        <f t="shared" si="450"/>
        <v>45444</v>
      </c>
      <c r="DJ340" s="112">
        <f t="shared" ca="1" si="451"/>
        <v>0</v>
      </c>
      <c r="DK340" s="112">
        <f t="shared" si="452"/>
        <v>0</v>
      </c>
      <c r="DL340" s="4">
        <f t="shared" si="453"/>
        <v>45444</v>
      </c>
      <c r="DM340" s="112">
        <f t="shared" ca="1" si="454"/>
        <v>0</v>
      </c>
      <c r="DN340" s="112">
        <f t="shared" si="455"/>
        <v>0</v>
      </c>
      <c r="DO340" s="4">
        <f t="shared" si="456"/>
        <v>45444</v>
      </c>
      <c r="DP340" s="112">
        <f t="shared" ca="1" si="457"/>
        <v>0</v>
      </c>
      <c r="DQ340" s="112">
        <f t="shared" si="458"/>
        <v>0</v>
      </c>
      <c r="DR340" s="4">
        <f t="shared" si="459"/>
        <v>45444</v>
      </c>
      <c r="DS340" s="112">
        <f t="shared" ca="1" si="460"/>
        <v>0</v>
      </c>
      <c r="DT340" s="112">
        <f t="shared" si="461"/>
        <v>0</v>
      </c>
      <c r="DU340" s="4">
        <f t="shared" si="462"/>
        <v>45444</v>
      </c>
      <c r="DV340" s="112">
        <f t="shared" si="463"/>
        <v>0</v>
      </c>
      <c r="DW340" s="112">
        <f t="shared" si="464"/>
        <v>0</v>
      </c>
    </row>
    <row r="341" spans="17:127" x14ac:dyDescent="0.25">
      <c r="Q341" s="4">
        <f t="shared" si="411"/>
        <v>45445</v>
      </c>
      <c r="R341" s="24">
        <f t="shared" si="412"/>
        <v>0</v>
      </c>
      <c r="S341" s="25">
        <f t="shared" si="413"/>
        <v>0</v>
      </c>
      <c r="T341" s="24">
        <f t="shared" si="414"/>
        <v>0</v>
      </c>
      <c r="U341" s="25">
        <f t="shared" si="415"/>
        <v>0</v>
      </c>
      <c r="V341" s="24">
        <f t="shared" si="416"/>
        <v>0</v>
      </c>
      <c r="W341" s="25">
        <f t="shared" si="417"/>
        <v>0</v>
      </c>
      <c r="X341" s="24">
        <f t="shared" si="418"/>
        <v>0</v>
      </c>
      <c r="Y341" s="26">
        <f t="shared" si="419"/>
        <v>0</v>
      </c>
      <c r="Z341" s="27">
        <f t="shared" si="420"/>
        <v>0</v>
      </c>
      <c r="AA341" s="28">
        <f t="shared" si="421"/>
        <v>45445</v>
      </c>
      <c r="AB341" s="24">
        <f t="shared" si="422"/>
        <v>0</v>
      </c>
      <c r="AC341" s="25">
        <f t="shared" si="423"/>
        <v>0</v>
      </c>
      <c r="AD341" s="28">
        <f t="shared" si="424"/>
        <v>45445</v>
      </c>
      <c r="AE341" s="24">
        <f t="shared" si="425"/>
        <v>0</v>
      </c>
      <c r="AF341" s="25">
        <f t="shared" si="426"/>
        <v>0</v>
      </c>
      <c r="AG341" s="28">
        <f t="shared" si="427"/>
        <v>45445</v>
      </c>
      <c r="AH341" s="24">
        <f t="shared" si="428"/>
        <v>0</v>
      </c>
      <c r="AI341" s="25">
        <f t="shared" si="429"/>
        <v>0</v>
      </c>
      <c r="AJ341" s="28">
        <f t="shared" si="430"/>
        <v>45445</v>
      </c>
      <c r="AK341" s="24">
        <f t="shared" si="431"/>
        <v>0</v>
      </c>
      <c r="AL341" s="25">
        <f t="shared" si="432"/>
        <v>0</v>
      </c>
      <c r="AM341" s="29">
        <f t="shared" si="433"/>
        <v>0</v>
      </c>
      <c r="AN341" s="28">
        <f t="shared" si="434"/>
        <v>45445</v>
      </c>
      <c r="AO341" s="373">
        <f t="shared" si="403"/>
        <v>0</v>
      </c>
      <c r="AP341" s="374">
        <f t="shared" si="404"/>
        <v>0</v>
      </c>
      <c r="AQ341" s="27">
        <f t="shared" si="405"/>
        <v>0</v>
      </c>
      <c r="AR341" s="25">
        <f t="shared" si="406"/>
        <v>0</v>
      </c>
      <c r="AS341" s="25">
        <f t="shared" si="407"/>
        <v>0</v>
      </c>
      <c r="AT341" s="25">
        <f t="shared" si="408"/>
        <v>0</v>
      </c>
      <c r="AU341" s="29">
        <f t="shared" si="465"/>
        <v>0</v>
      </c>
      <c r="AV341" s="27">
        <f t="shared" si="435"/>
        <v>0</v>
      </c>
      <c r="AW341" s="27">
        <f t="shared" si="436"/>
        <v>0</v>
      </c>
      <c r="AX341" s="27">
        <f t="shared" si="437"/>
        <v>0</v>
      </c>
      <c r="AY341" s="27">
        <f t="shared" si="438"/>
        <v>0</v>
      </c>
      <c r="BH341" s="2">
        <f t="shared" si="439"/>
        <v>0</v>
      </c>
      <c r="BI341" s="298" t="str">
        <f t="shared" si="440"/>
        <v/>
      </c>
      <c r="BJ341" s="298" t="str">
        <f t="shared" si="409"/>
        <v/>
      </c>
      <c r="BQ341" s="4">
        <f t="shared" si="441"/>
        <v>45445</v>
      </c>
      <c r="BR341" s="112">
        <f t="shared" si="442"/>
        <v>0</v>
      </c>
      <c r="BS341" s="112">
        <f t="shared" si="443"/>
        <v>0</v>
      </c>
      <c r="BT341" s="112">
        <f t="shared" si="444"/>
        <v>0</v>
      </c>
      <c r="BU341" s="112">
        <f t="shared" si="445"/>
        <v>0</v>
      </c>
      <c r="BV341" s="112">
        <f t="shared" si="446"/>
        <v>0</v>
      </c>
      <c r="CI341" s="4">
        <f t="shared" si="447"/>
        <v>45445</v>
      </c>
      <c r="CJ341" s="50">
        <f ca="1">IF($BH341=0,IF($CO341="",CJ340+R341,IF('283'!$K$251=1,VLOOKUP($CO341,PerStBal,2)+R341,IF('283'!$K$253=1,(VLOOKUP($CO341,PerPortion,2)*VLOOKUP($CO341,PerStBal,6))+R341,GL!BS341))),0)</f>
        <v>0</v>
      </c>
      <c r="CK341" s="425">
        <f ca="1">IF($BH341=0,IF($CO341="",CK340+T341,IF('283'!$K$251=1,IF(mname2&lt;&gt;"",VLOOKUP($CO341,PerStBal,3)+T341,0),IF('283'!$K$253=1,(VLOOKUP($CO341,PerPortion,3)*VLOOKUP($CO341,PerStBal,6))+T341,GL!BT341))),0)</f>
        <v>0</v>
      </c>
      <c r="CL341" s="425">
        <f ca="1">IF($BH341=0,IF($CO341="",CL340+V341,IF('283'!$K$251=1,IF(mname3&lt;&gt;"",VLOOKUP($CO341,PerStBal,4)+V341,0),IF('283'!$K$253=1,(VLOOKUP($CO341,PerPortion,4)*VLOOKUP($CO341,PerStBal,6))+V341,GL!BU341))),0)</f>
        <v>0</v>
      </c>
      <c r="CM341" s="425">
        <f ca="1">IF($BH341=0,IF($CO341="",CM340+X341,IF('283'!$K$251=1,IF(mname4&lt;&gt;"",VLOOKUP($CO341,PerStBal,5)+X341,0),IF('283'!$K$253=1,(VLOOKUP($CO341,PerPortion,5)*VLOOKUP($CO341,PerStBal,6))+X341,GL!BV341))),0)</f>
        <v>0</v>
      </c>
      <c r="CN341" s="50">
        <f t="shared" ca="1" si="448"/>
        <v>0</v>
      </c>
      <c r="CO341" s="4" t="str">
        <f t="shared" ca="1" si="449"/>
        <v/>
      </c>
      <c r="CP341" s="377">
        <f t="shared" si="410"/>
        <v>0</v>
      </c>
      <c r="DI341" s="4">
        <f t="shared" si="450"/>
        <v>45445</v>
      </c>
      <c r="DJ341" s="112">
        <f t="shared" ca="1" si="451"/>
        <v>0</v>
      </c>
      <c r="DK341" s="112">
        <f t="shared" si="452"/>
        <v>0</v>
      </c>
      <c r="DL341" s="4">
        <f t="shared" si="453"/>
        <v>45445</v>
      </c>
      <c r="DM341" s="112">
        <f t="shared" ca="1" si="454"/>
        <v>0</v>
      </c>
      <c r="DN341" s="112">
        <f t="shared" si="455"/>
        <v>0</v>
      </c>
      <c r="DO341" s="4">
        <f t="shared" si="456"/>
        <v>45445</v>
      </c>
      <c r="DP341" s="112">
        <f t="shared" ca="1" si="457"/>
        <v>0</v>
      </c>
      <c r="DQ341" s="112">
        <f t="shared" si="458"/>
        <v>0</v>
      </c>
      <c r="DR341" s="4">
        <f t="shared" si="459"/>
        <v>45445</v>
      </c>
      <c r="DS341" s="112">
        <f t="shared" ca="1" si="460"/>
        <v>0</v>
      </c>
      <c r="DT341" s="112">
        <f t="shared" si="461"/>
        <v>0</v>
      </c>
      <c r="DU341" s="4">
        <f t="shared" si="462"/>
        <v>45445</v>
      </c>
      <c r="DV341" s="112">
        <f t="shared" si="463"/>
        <v>0</v>
      </c>
      <c r="DW341" s="112">
        <f t="shared" si="464"/>
        <v>0</v>
      </c>
    </row>
    <row r="342" spans="17:127" x14ac:dyDescent="0.25">
      <c r="Q342" s="4">
        <f t="shared" si="411"/>
        <v>45446</v>
      </c>
      <c r="R342" s="24">
        <f t="shared" si="412"/>
        <v>0</v>
      </c>
      <c r="S342" s="25">
        <f t="shared" si="413"/>
        <v>0</v>
      </c>
      <c r="T342" s="24">
        <f t="shared" si="414"/>
        <v>0</v>
      </c>
      <c r="U342" s="25">
        <f t="shared" si="415"/>
        <v>0</v>
      </c>
      <c r="V342" s="24">
        <f t="shared" si="416"/>
        <v>0</v>
      </c>
      <c r="W342" s="25">
        <f t="shared" si="417"/>
        <v>0</v>
      </c>
      <c r="X342" s="24">
        <f t="shared" si="418"/>
        <v>0</v>
      </c>
      <c r="Y342" s="26">
        <f t="shared" si="419"/>
        <v>0</v>
      </c>
      <c r="Z342" s="27">
        <f t="shared" si="420"/>
        <v>0</v>
      </c>
      <c r="AA342" s="28">
        <f t="shared" si="421"/>
        <v>45446</v>
      </c>
      <c r="AB342" s="24">
        <f t="shared" si="422"/>
        <v>0</v>
      </c>
      <c r="AC342" s="25">
        <f t="shared" si="423"/>
        <v>0</v>
      </c>
      <c r="AD342" s="28">
        <f t="shared" si="424"/>
        <v>45446</v>
      </c>
      <c r="AE342" s="24">
        <f t="shared" si="425"/>
        <v>0</v>
      </c>
      <c r="AF342" s="25">
        <f t="shared" si="426"/>
        <v>0</v>
      </c>
      <c r="AG342" s="28">
        <f t="shared" si="427"/>
        <v>45446</v>
      </c>
      <c r="AH342" s="24">
        <f t="shared" si="428"/>
        <v>0</v>
      </c>
      <c r="AI342" s="25">
        <f t="shared" si="429"/>
        <v>0</v>
      </c>
      <c r="AJ342" s="28">
        <f t="shared" si="430"/>
        <v>45446</v>
      </c>
      <c r="AK342" s="24">
        <f t="shared" si="431"/>
        <v>0</v>
      </c>
      <c r="AL342" s="25">
        <f t="shared" si="432"/>
        <v>0</v>
      </c>
      <c r="AM342" s="29">
        <f t="shared" si="433"/>
        <v>0</v>
      </c>
      <c r="AN342" s="28">
        <f t="shared" si="434"/>
        <v>45446</v>
      </c>
      <c r="AO342" s="373">
        <f t="shared" si="403"/>
        <v>0</v>
      </c>
      <c r="AP342" s="374">
        <f t="shared" si="404"/>
        <v>0</v>
      </c>
      <c r="AQ342" s="27">
        <f t="shared" si="405"/>
        <v>0</v>
      </c>
      <c r="AR342" s="25">
        <f t="shared" si="406"/>
        <v>0</v>
      </c>
      <c r="AS342" s="25">
        <f t="shared" si="407"/>
        <v>0</v>
      </c>
      <c r="AT342" s="25">
        <f t="shared" si="408"/>
        <v>0</v>
      </c>
      <c r="AU342" s="29">
        <f t="shared" si="465"/>
        <v>0</v>
      </c>
      <c r="AV342" s="27">
        <f t="shared" si="435"/>
        <v>0</v>
      </c>
      <c r="AW342" s="27">
        <f t="shared" si="436"/>
        <v>0</v>
      </c>
      <c r="AX342" s="27">
        <f t="shared" si="437"/>
        <v>0</v>
      </c>
      <c r="AY342" s="27">
        <f t="shared" si="438"/>
        <v>0</v>
      </c>
      <c r="BH342" s="2">
        <f t="shared" si="439"/>
        <v>0</v>
      </c>
      <c r="BI342" s="298" t="str">
        <f t="shared" si="440"/>
        <v/>
      </c>
      <c r="BJ342" s="298" t="str">
        <f t="shared" si="409"/>
        <v/>
      </c>
      <c r="BQ342" s="4">
        <f t="shared" si="441"/>
        <v>45446</v>
      </c>
      <c r="BR342" s="112">
        <f t="shared" si="442"/>
        <v>0</v>
      </c>
      <c r="BS342" s="112">
        <f t="shared" si="443"/>
        <v>0</v>
      </c>
      <c r="BT342" s="112">
        <f t="shared" si="444"/>
        <v>0</v>
      </c>
      <c r="BU342" s="112">
        <f t="shared" si="445"/>
        <v>0</v>
      </c>
      <c r="BV342" s="112">
        <f t="shared" si="446"/>
        <v>0</v>
      </c>
      <c r="CI342" s="4">
        <f t="shared" si="447"/>
        <v>45446</v>
      </c>
      <c r="CJ342" s="50">
        <f ca="1">IF($BH342=0,IF($CO342="",CJ341+R342,IF('283'!$K$251=1,VLOOKUP($CO342,PerStBal,2)+R342,IF('283'!$K$253=1,(VLOOKUP($CO342,PerPortion,2)*VLOOKUP($CO342,PerStBal,6))+R342,GL!BS342))),0)</f>
        <v>0</v>
      </c>
      <c r="CK342" s="425">
        <f ca="1">IF($BH342=0,IF($CO342="",CK341+T342,IF('283'!$K$251=1,IF(mname2&lt;&gt;"",VLOOKUP($CO342,PerStBal,3)+T342,0),IF('283'!$K$253=1,(VLOOKUP($CO342,PerPortion,3)*VLOOKUP($CO342,PerStBal,6))+T342,GL!BT342))),0)</f>
        <v>0</v>
      </c>
      <c r="CL342" s="425">
        <f ca="1">IF($BH342=0,IF($CO342="",CL341+V342,IF('283'!$K$251=1,IF(mname3&lt;&gt;"",VLOOKUP($CO342,PerStBal,4)+V342,0),IF('283'!$K$253=1,(VLOOKUP($CO342,PerPortion,4)*VLOOKUP($CO342,PerStBal,6))+V342,GL!BU342))),0)</f>
        <v>0</v>
      </c>
      <c r="CM342" s="425">
        <f ca="1">IF($BH342=0,IF($CO342="",CM341+X342,IF('283'!$K$251=1,IF(mname4&lt;&gt;"",VLOOKUP($CO342,PerStBal,5)+X342,0),IF('283'!$K$253=1,(VLOOKUP($CO342,PerPortion,5)*VLOOKUP($CO342,PerStBal,6))+X342,GL!BV342))),0)</f>
        <v>0</v>
      </c>
      <c r="CN342" s="50">
        <f t="shared" ca="1" si="448"/>
        <v>0</v>
      </c>
      <c r="CO342" s="4" t="str">
        <f t="shared" ca="1" si="449"/>
        <v/>
      </c>
      <c r="CP342" s="377">
        <f t="shared" si="410"/>
        <v>0</v>
      </c>
      <c r="DI342" s="4">
        <f t="shared" si="450"/>
        <v>45446</v>
      </c>
      <c r="DJ342" s="112">
        <f t="shared" ca="1" si="451"/>
        <v>0</v>
      </c>
      <c r="DK342" s="112">
        <f t="shared" si="452"/>
        <v>0</v>
      </c>
      <c r="DL342" s="4">
        <f t="shared" si="453"/>
        <v>45446</v>
      </c>
      <c r="DM342" s="112">
        <f t="shared" ca="1" si="454"/>
        <v>0</v>
      </c>
      <c r="DN342" s="112">
        <f t="shared" si="455"/>
        <v>0</v>
      </c>
      <c r="DO342" s="4">
        <f t="shared" si="456"/>
        <v>45446</v>
      </c>
      <c r="DP342" s="112">
        <f t="shared" ca="1" si="457"/>
        <v>0</v>
      </c>
      <c r="DQ342" s="112">
        <f t="shared" si="458"/>
        <v>0</v>
      </c>
      <c r="DR342" s="4">
        <f t="shared" si="459"/>
        <v>45446</v>
      </c>
      <c r="DS342" s="112">
        <f t="shared" ca="1" si="460"/>
        <v>0</v>
      </c>
      <c r="DT342" s="112">
        <f t="shared" si="461"/>
        <v>0</v>
      </c>
      <c r="DU342" s="4">
        <f t="shared" si="462"/>
        <v>45446</v>
      </c>
      <c r="DV342" s="112">
        <f t="shared" si="463"/>
        <v>0</v>
      </c>
      <c r="DW342" s="112">
        <f t="shared" si="464"/>
        <v>0</v>
      </c>
    </row>
    <row r="343" spans="17:127" x14ac:dyDescent="0.25">
      <c r="Q343" s="4">
        <f t="shared" si="411"/>
        <v>45447</v>
      </c>
      <c r="R343" s="24">
        <f t="shared" si="412"/>
        <v>0</v>
      </c>
      <c r="S343" s="25">
        <f t="shared" si="413"/>
        <v>0</v>
      </c>
      <c r="T343" s="24">
        <f t="shared" si="414"/>
        <v>0</v>
      </c>
      <c r="U343" s="25">
        <f t="shared" si="415"/>
        <v>0</v>
      </c>
      <c r="V343" s="24">
        <f t="shared" si="416"/>
        <v>0</v>
      </c>
      <c r="W343" s="25">
        <f t="shared" si="417"/>
        <v>0</v>
      </c>
      <c r="X343" s="24">
        <f t="shared" si="418"/>
        <v>0</v>
      </c>
      <c r="Y343" s="26">
        <f t="shared" si="419"/>
        <v>0</v>
      </c>
      <c r="Z343" s="27">
        <f t="shared" si="420"/>
        <v>0</v>
      </c>
      <c r="AA343" s="28">
        <f t="shared" si="421"/>
        <v>45447</v>
      </c>
      <c r="AB343" s="24">
        <f t="shared" si="422"/>
        <v>0</v>
      </c>
      <c r="AC343" s="25">
        <f t="shared" si="423"/>
        <v>0</v>
      </c>
      <c r="AD343" s="28">
        <f t="shared" si="424"/>
        <v>45447</v>
      </c>
      <c r="AE343" s="24">
        <f t="shared" si="425"/>
        <v>0</v>
      </c>
      <c r="AF343" s="25">
        <f t="shared" si="426"/>
        <v>0</v>
      </c>
      <c r="AG343" s="28">
        <f t="shared" si="427"/>
        <v>45447</v>
      </c>
      <c r="AH343" s="24">
        <f t="shared" si="428"/>
        <v>0</v>
      </c>
      <c r="AI343" s="25">
        <f t="shared" si="429"/>
        <v>0</v>
      </c>
      <c r="AJ343" s="28">
        <f t="shared" si="430"/>
        <v>45447</v>
      </c>
      <c r="AK343" s="24">
        <f t="shared" si="431"/>
        <v>0</v>
      </c>
      <c r="AL343" s="25">
        <f t="shared" si="432"/>
        <v>0</v>
      </c>
      <c r="AM343" s="29">
        <f t="shared" si="433"/>
        <v>0</v>
      </c>
      <c r="AN343" s="28">
        <f t="shared" si="434"/>
        <v>45447</v>
      </c>
      <c r="AO343" s="373">
        <f t="shared" si="403"/>
        <v>0</v>
      </c>
      <c r="AP343" s="374">
        <f t="shared" si="404"/>
        <v>0</v>
      </c>
      <c r="AQ343" s="27">
        <f t="shared" si="405"/>
        <v>0</v>
      </c>
      <c r="AR343" s="25">
        <f t="shared" si="406"/>
        <v>0</v>
      </c>
      <c r="AS343" s="25">
        <f t="shared" si="407"/>
        <v>0</v>
      </c>
      <c r="AT343" s="25">
        <f t="shared" si="408"/>
        <v>0</v>
      </c>
      <c r="AU343" s="29">
        <f t="shared" si="465"/>
        <v>0</v>
      </c>
      <c r="AV343" s="27">
        <f t="shared" si="435"/>
        <v>0</v>
      </c>
      <c r="AW343" s="27">
        <f t="shared" si="436"/>
        <v>0</v>
      </c>
      <c r="AX343" s="27">
        <f t="shared" si="437"/>
        <v>0</v>
      </c>
      <c r="AY343" s="27">
        <f t="shared" si="438"/>
        <v>0</v>
      </c>
      <c r="BH343" s="2">
        <f t="shared" si="439"/>
        <v>0</v>
      </c>
      <c r="BI343" s="298" t="str">
        <f t="shared" si="440"/>
        <v/>
      </c>
      <c r="BJ343" s="298" t="str">
        <f t="shared" si="409"/>
        <v/>
      </c>
      <c r="BQ343" s="4">
        <f t="shared" si="441"/>
        <v>45447</v>
      </c>
      <c r="BR343" s="112">
        <f t="shared" si="442"/>
        <v>0</v>
      </c>
      <c r="BS343" s="112">
        <f t="shared" si="443"/>
        <v>0</v>
      </c>
      <c r="BT343" s="112">
        <f t="shared" si="444"/>
        <v>0</v>
      </c>
      <c r="BU343" s="112">
        <f t="shared" si="445"/>
        <v>0</v>
      </c>
      <c r="BV343" s="112">
        <f t="shared" si="446"/>
        <v>0</v>
      </c>
      <c r="CI343" s="4">
        <f t="shared" si="447"/>
        <v>45447</v>
      </c>
      <c r="CJ343" s="50">
        <f ca="1">IF($BH343=0,IF($CO343="",CJ342+R343,IF('283'!$K$251=1,VLOOKUP($CO343,PerStBal,2)+R343,IF('283'!$K$253=1,(VLOOKUP($CO343,PerPortion,2)*VLOOKUP($CO343,PerStBal,6))+R343,GL!BS343))),0)</f>
        <v>0</v>
      </c>
      <c r="CK343" s="425">
        <f ca="1">IF($BH343=0,IF($CO343="",CK342+T343,IF('283'!$K$251=1,IF(mname2&lt;&gt;"",VLOOKUP($CO343,PerStBal,3)+T343,0),IF('283'!$K$253=1,(VLOOKUP($CO343,PerPortion,3)*VLOOKUP($CO343,PerStBal,6))+T343,GL!BT343))),0)</f>
        <v>0</v>
      </c>
      <c r="CL343" s="425">
        <f ca="1">IF($BH343=0,IF($CO343="",CL342+V343,IF('283'!$K$251=1,IF(mname3&lt;&gt;"",VLOOKUP($CO343,PerStBal,4)+V343,0),IF('283'!$K$253=1,(VLOOKUP($CO343,PerPortion,4)*VLOOKUP($CO343,PerStBal,6))+V343,GL!BU343))),0)</f>
        <v>0</v>
      </c>
      <c r="CM343" s="425">
        <f ca="1">IF($BH343=0,IF($CO343="",CM342+X343,IF('283'!$K$251=1,IF(mname4&lt;&gt;"",VLOOKUP($CO343,PerStBal,5)+X343,0),IF('283'!$K$253=1,(VLOOKUP($CO343,PerPortion,5)*VLOOKUP($CO343,PerStBal,6))+X343,GL!BV343))),0)</f>
        <v>0</v>
      </c>
      <c r="CN343" s="50">
        <f t="shared" ca="1" si="448"/>
        <v>0</v>
      </c>
      <c r="CO343" s="4" t="str">
        <f t="shared" ca="1" si="449"/>
        <v/>
      </c>
      <c r="CP343" s="377">
        <f t="shared" si="410"/>
        <v>0</v>
      </c>
      <c r="DI343" s="4">
        <f t="shared" si="450"/>
        <v>45447</v>
      </c>
      <c r="DJ343" s="112">
        <f t="shared" ca="1" si="451"/>
        <v>0</v>
      </c>
      <c r="DK343" s="112">
        <f t="shared" si="452"/>
        <v>0</v>
      </c>
      <c r="DL343" s="4">
        <f t="shared" si="453"/>
        <v>45447</v>
      </c>
      <c r="DM343" s="112">
        <f t="shared" ca="1" si="454"/>
        <v>0</v>
      </c>
      <c r="DN343" s="112">
        <f t="shared" si="455"/>
        <v>0</v>
      </c>
      <c r="DO343" s="4">
        <f t="shared" si="456"/>
        <v>45447</v>
      </c>
      <c r="DP343" s="112">
        <f t="shared" ca="1" si="457"/>
        <v>0</v>
      </c>
      <c r="DQ343" s="112">
        <f t="shared" si="458"/>
        <v>0</v>
      </c>
      <c r="DR343" s="4">
        <f t="shared" si="459"/>
        <v>45447</v>
      </c>
      <c r="DS343" s="112">
        <f t="shared" ca="1" si="460"/>
        <v>0</v>
      </c>
      <c r="DT343" s="112">
        <f t="shared" si="461"/>
        <v>0</v>
      </c>
      <c r="DU343" s="4">
        <f t="shared" si="462"/>
        <v>45447</v>
      </c>
      <c r="DV343" s="112">
        <f t="shared" si="463"/>
        <v>0</v>
      </c>
      <c r="DW343" s="112">
        <f t="shared" si="464"/>
        <v>0</v>
      </c>
    </row>
    <row r="344" spans="17:127" x14ac:dyDescent="0.25">
      <c r="Q344" s="4">
        <f t="shared" si="411"/>
        <v>45448</v>
      </c>
      <c r="R344" s="24">
        <f t="shared" si="412"/>
        <v>0</v>
      </c>
      <c r="S344" s="25">
        <f t="shared" si="413"/>
        <v>0</v>
      </c>
      <c r="T344" s="24">
        <f t="shared" si="414"/>
        <v>0</v>
      </c>
      <c r="U344" s="25">
        <f t="shared" si="415"/>
        <v>0</v>
      </c>
      <c r="V344" s="24">
        <f t="shared" si="416"/>
        <v>0</v>
      </c>
      <c r="W344" s="25">
        <f t="shared" si="417"/>
        <v>0</v>
      </c>
      <c r="X344" s="24">
        <f t="shared" si="418"/>
        <v>0</v>
      </c>
      <c r="Y344" s="26">
        <f t="shared" si="419"/>
        <v>0</v>
      </c>
      <c r="Z344" s="27">
        <f t="shared" si="420"/>
        <v>0</v>
      </c>
      <c r="AA344" s="28">
        <f t="shared" si="421"/>
        <v>45448</v>
      </c>
      <c r="AB344" s="24">
        <f t="shared" si="422"/>
        <v>0</v>
      </c>
      <c r="AC344" s="25">
        <f t="shared" si="423"/>
        <v>0</v>
      </c>
      <c r="AD344" s="28">
        <f t="shared" si="424"/>
        <v>45448</v>
      </c>
      <c r="AE344" s="24">
        <f t="shared" si="425"/>
        <v>0</v>
      </c>
      <c r="AF344" s="25">
        <f t="shared" si="426"/>
        <v>0</v>
      </c>
      <c r="AG344" s="28">
        <f t="shared" si="427"/>
        <v>45448</v>
      </c>
      <c r="AH344" s="24">
        <f t="shared" si="428"/>
        <v>0</v>
      </c>
      <c r="AI344" s="25">
        <f t="shared" si="429"/>
        <v>0</v>
      </c>
      <c r="AJ344" s="28">
        <f t="shared" si="430"/>
        <v>45448</v>
      </c>
      <c r="AK344" s="24">
        <f t="shared" si="431"/>
        <v>0</v>
      </c>
      <c r="AL344" s="25">
        <f t="shared" si="432"/>
        <v>0</v>
      </c>
      <c r="AM344" s="29">
        <f t="shared" si="433"/>
        <v>0</v>
      </c>
      <c r="AN344" s="28">
        <f t="shared" si="434"/>
        <v>45448</v>
      </c>
      <c r="AO344" s="373">
        <f t="shared" si="403"/>
        <v>0</v>
      </c>
      <c r="AP344" s="374">
        <f t="shared" si="404"/>
        <v>0</v>
      </c>
      <c r="AQ344" s="27">
        <f t="shared" si="405"/>
        <v>0</v>
      </c>
      <c r="AR344" s="25">
        <f t="shared" si="406"/>
        <v>0</v>
      </c>
      <c r="AS344" s="25">
        <f t="shared" si="407"/>
        <v>0</v>
      </c>
      <c r="AT344" s="25">
        <f t="shared" si="408"/>
        <v>0</v>
      </c>
      <c r="AU344" s="29">
        <f t="shared" si="465"/>
        <v>0</v>
      </c>
      <c r="AV344" s="27">
        <f t="shared" si="435"/>
        <v>0</v>
      </c>
      <c r="AW344" s="27">
        <f t="shared" si="436"/>
        <v>0</v>
      </c>
      <c r="AX344" s="27">
        <f t="shared" si="437"/>
        <v>0</v>
      </c>
      <c r="AY344" s="27">
        <f t="shared" si="438"/>
        <v>0</v>
      </c>
      <c r="BH344" s="2">
        <f t="shared" si="439"/>
        <v>0</v>
      </c>
      <c r="BI344" s="298" t="str">
        <f t="shared" si="440"/>
        <v/>
      </c>
      <c r="BJ344" s="298" t="str">
        <f t="shared" si="409"/>
        <v/>
      </c>
      <c r="BQ344" s="4">
        <f t="shared" si="441"/>
        <v>45448</v>
      </c>
      <c r="BR344" s="112">
        <f t="shared" si="442"/>
        <v>0</v>
      </c>
      <c r="BS344" s="112">
        <f t="shared" si="443"/>
        <v>0</v>
      </c>
      <c r="BT344" s="112">
        <f t="shared" si="444"/>
        <v>0</v>
      </c>
      <c r="BU344" s="112">
        <f t="shared" si="445"/>
        <v>0</v>
      </c>
      <c r="BV344" s="112">
        <f t="shared" si="446"/>
        <v>0</v>
      </c>
      <c r="CI344" s="4">
        <f t="shared" si="447"/>
        <v>45448</v>
      </c>
      <c r="CJ344" s="50">
        <f ca="1">IF($BH344=0,IF($CO344="",CJ343+R344,IF('283'!$K$251=1,VLOOKUP($CO344,PerStBal,2)+R344,IF('283'!$K$253=1,(VLOOKUP($CO344,PerPortion,2)*VLOOKUP($CO344,PerStBal,6))+R344,GL!BS344))),0)</f>
        <v>0</v>
      </c>
      <c r="CK344" s="425">
        <f ca="1">IF($BH344=0,IF($CO344="",CK343+T344,IF('283'!$K$251=1,IF(mname2&lt;&gt;"",VLOOKUP($CO344,PerStBal,3)+T344,0),IF('283'!$K$253=1,(VLOOKUP($CO344,PerPortion,3)*VLOOKUP($CO344,PerStBal,6))+T344,GL!BT344))),0)</f>
        <v>0</v>
      </c>
      <c r="CL344" s="425">
        <f ca="1">IF($BH344=0,IF($CO344="",CL343+V344,IF('283'!$K$251=1,IF(mname3&lt;&gt;"",VLOOKUP($CO344,PerStBal,4)+V344,0),IF('283'!$K$253=1,(VLOOKUP($CO344,PerPortion,4)*VLOOKUP($CO344,PerStBal,6))+V344,GL!BU344))),0)</f>
        <v>0</v>
      </c>
      <c r="CM344" s="425">
        <f ca="1">IF($BH344=0,IF($CO344="",CM343+X344,IF('283'!$K$251=1,IF(mname4&lt;&gt;"",VLOOKUP($CO344,PerStBal,5)+X344,0),IF('283'!$K$253=1,(VLOOKUP($CO344,PerPortion,5)*VLOOKUP($CO344,PerStBal,6))+X344,GL!BV344))),0)</f>
        <v>0</v>
      </c>
      <c r="CN344" s="50">
        <f t="shared" ca="1" si="448"/>
        <v>0</v>
      </c>
      <c r="CO344" s="4" t="str">
        <f t="shared" ca="1" si="449"/>
        <v/>
      </c>
      <c r="CP344" s="377">
        <f t="shared" si="410"/>
        <v>0</v>
      </c>
      <c r="DI344" s="4">
        <f t="shared" si="450"/>
        <v>45448</v>
      </c>
      <c r="DJ344" s="112">
        <f t="shared" ca="1" si="451"/>
        <v>0</v>
      </c>
      <c r="DK344" s="112">
        <f t="shared" si="452"/>
        <v>0</v>
      </c>
      <c r="DL344" s="4">
        <f t="shared" si="453"/>
        <v>45448</v>
      </c>
      <c r="DM344" s="112">
        <f t="shared" ca="1" si="454"/>
        <v>0</v>
      </c>
      <c r="DN344" s="112">
        <f t="shared" si="455"/>
        <v>0</v>
      </c>
      <c r="DO344" s="4">
        <f t="shared" si="456"/>
        <v>45448</v>
      </c>
      <c r="DP344" s="112">
        <f t="shared" ca="1" si="457"/>
        <v>0</v>
      </c>
      <c r="DQ344" s="112">
        <f t="shared" si="458"/>
        <v>0</v>
      </c>
      <c r="DR344" s="4">
        <f t="shared" si="459"/>
        <v>45448</v>
      </c>
      <c r="DS344" s="112">
        <f t="shared" ca="1" si="460"/>
        <v>0</v>
      </c>
      <c r="DT344" s="112">
        <f t="shared" si="461"/>
        <v>0</v>
      </c>
      <c r="DU344" s="4">
        <f t="shared" si="462"/>
        <v>45448</v>
      </c>
      <c r="DV344" s="112">
        <f t="shared" si="463"/>
        <v>0</v>
      </c>
      <c r="DW344" s="112">
        <f t="shared" si="464"/>
        <v>0</v>
      </c>
    </row>
    <row r="345" spans="17:127" x14ac:dyDescent="0.25">
      <c r="Q345" s="4">
        <f t="shared" si="411"/>
        <v>45449</v>
      </c>
      <c r="R345" s="24">
        <f t="shared" si="412"/>
        <v>0</v>
      </c>
      <c r="S345" s="25">
        <f t="shared" si="413"/>
        <v>0</v>
      </c>
      <c r="T345" s="24">
        <f t="shared" si="414"/>
        <v>0</v>
      </c>
      <c r="U345" s="25">
        <f t="shared" si="415"/>
        <v>0</v>
      </c>
      <c r="V345" s="24">
        <f t="shared" si="416"/>
        <v>0</v>
      </c>
      <c r="W345" s="25">
        <f t="shared" si="417"/>
        <v>0</v>
      </c>
      <c r="X345" s="24">
        <f t="shared" si="418"/>
        <v>0</v>
      </c>
      <c r="Y345" s="26">
        <f t="shared" si="419"/>
        <v>0</v>
      </c>
      <c r="Z345" s="27">
        <f t="shared" si="420"/>
        <v>0</v>
      </c>
      <c r="AA345" s="28">
        <f t="shared" si="421"/>
        <v>45449</v>
      </c>
      <c r="AB345" s="24">
        <f t="shared" si="422"/>
        <v>0</v>
      </c>
      <c r="AC345" s="25">
        <f t="shared" si="423"/>
        <v>0</v>
      </c>
      <c r="AD345" s="28">
        <f t="shared" si="424"/>
        <v>45449</v>
      </c>
      <c r="AE345" s="24">
        <f t="shared" si="425"/>
        <v>0</v>
      </c>
      <c r="AF345" s="25">
        <f t="shared" si="426"/>
        <v>0</v>
      </c>
      <c r="AG345" s="28">
        <f t="shared" si="427"/>
        <v>45449</v>
      </c>
      <c r="AH345" s="24">
        <f t="shared" si="428"/>
        <v>0</v>
      </c>
      <c r="AI345" s="25">
        <f t="shared" si="429"/>
        <v>0</v>
      </c>
      <c r="AJ345" s="28">
        <f t="shared" si="430"/>
        <v>45449</v>
      </c>
      <c r="AK345" s="24">
        <f t="shared" si="431"/>
        <v>0</v>
      </c>
      <c r="AL345" s="25">
        <f t="shared" si="432"/>
        <v>0</v>
      </c>
      <c r="AM345" s="29">
        <f t="shared" si="433"/>
        <v>0</v>
      </c>
      <c r="AN345" s="28">
        <f t="shared" si="434"/>
        <v>45449</v>
      </c>
      <c r="AO345" s="373">
        <f t="shared" si="403"/>
        <v>0</v>
      </c>
      <c r="AP345" s="374">
        <f t="shared" si="404"/>
        <v>0</v>
      </c>
      <c r="AQ345" s="27">
        <f t="shared" si="405"/>
        <v>0</v>
      </c>
      <c r="AR345" s="25">
        <f t="shared" si="406"/>
        <v>0</v>
      </c>
      <c r="AS345" s="25">
        <f t="shared" si="407"/>
        <v>0</v>
      </c>
      <c r="AT345" s="25">
        <f t="shared" si="408"/>
        <v>0</v>
      </c>
      <c r="AU345" s="29">
        <f t="shared" si="465"/>
        <v>0</v>
      </c>
      <c r="AV345" s="27">
        <f t="shared" si="435"/>
        <v>0</v>
      </c>
      <c r="AW345" s="27">
        <f t="shared" si="436"/>
        <v>0</v>
      </c>
      <c r="AX345" s="27">
        <f t="shared" si="437"/>
        <v>0</v>
      </c>
      <c r="AY345" s="27">
        <f t="shared" si="438"/>
        <v>0</v>
      </c>
      <c r="BH345" s="2">
        <f t="shared" si="439"/>
        <v>0</v>
      </c>
      <c r="BI345" s="298" t="str">
        <f t="shared" si="440"/>
        <v/>
      </c>
      <c r="BJ345" s="298" t="str">
        <f t="shared" si="409"/>
        <v/>
      </c>
      <c r="BQ345" s="4">
        <f t="shared" si="441"/>
        <v>45449</v>
      </c>
      <c r="BR345" s="112">
        <f t="shared" si="442"/>
        <v>0</v>
      </c>
      <c r="BS345" s="112">
        <f t="shared" si="443"/>
        <v>0</v>
      </c>
      <c r="BT345" s="112">
        <f t="shared" si="444"/>
        <v>0</v>
      </c>
      <c r="BU345" s="112">
        <f t="shared" si="445"/>
        <v>0</v>
      </c>
      <c r="BV345" s="112">
        <f t="shared" si="446"/>
        <v>0</v>
      </c>
      <c r="CI345" s="4">
        <f t="shared" si="447"/>
        <v>45449</v>
      </c>
      <c r="CJ345" s="50">
        <f ca="1">IF($BH345=0,IF($CO345="",CJ344+R345,IF('283'!$K$251=1,VLOOKUP($CO345,PerStBal,2)+R345,IF('283'!$K$253=1,(VLOOKUP($CO345,PerPortion,2)*VLOOKUP($CO345,PerStBal,6))+R345,GL!BS345))),0)</f>
        <v>0</v>
      </c>
      <c r="CK345" s="425">
        <f ca="1">IF($BH345=0,IF($CO345="",CK344+T345,IF('283'!$K$251=1,IF(mname2&lt;&gt;"",VLOOKUP($CO345,PerStBal,3)+T345,0),IF('283'!$K$253=1,(VLOOKUP($CO345,PerPortion,3)*VLOOKUP($CO345,PerStBal,6))+T345,GL!BT345))),0)</f>
        <v>0</v>
      </c>
      <c r="CL345" s="425">
        <f ca="1">IF($BH345=0,IF($CO345="",CL344+V345,IF('283'!$K$251=1,IF(mname3&lt;&gt;"",VLOOKUP($CO345,PerStBal,4)+V345,0),IF('283'!$K$253=1,(VLOOKUP($CO345,PerPortion,4)*VLOOKUP($CO345,PerStBal,6))+V345,GL!BU345))),0)</f>
        <v>0</v>
      </c>
      <c r="CM345" s="425">
        <f ca="1">IF($BH345=0,IF($CO345="",CM344+X345,IF('283'!$K$251=1,IF(mname4&lt;&gt;"",VLOOKUP($CO345,PerStBal,5)+X345,0),IF('283'!$K$253=1,(VLOOKUP($CO345,PerPortion,5)*VLOOKUP($CO345,PerStBal,6))+X345,GL!BV345))),0)</f>
        <v>0</v>
      </c>
      <c r="CN345" s="50">
        <f t="shared" ca="1" si="448"/>
        <v>0</v>
      </c>
      <c r="CO345" s="4" t="str">
        <f t="shared" ca="1" si="449"/>
        <v/>
      </c>
      <c r="CP345" s="377">
        <f t="shared" si="410"/>
        <v>0</v>
      </c>
      <c r="DI345" s="4">
        <f t="shared" si="450"/>
        <v>45449</v>
      </c>
      <c r="DJ345" s="112">
        <f t="shared" ca="1" si="451"/>
        <v>0</v>
      </c>
      <c r="DK345" s="112">
        <f t="shared" si="452"/>
        <v>0</v>
      </c>
      <c r="DL345" s="4">
        <f t="shared" si="453"/>
        <v>45449</v>
      </c>
      <c r="DM345" s="112">
        <f t="shared" ca="1" si="454"/>
        <v>0</v>
      </c>
      <c r="DN345" s="112">
        <f t="shared" si="455"/>
        <v>0</v>
      </c>
      <c r="DO345" s="4">
        <f t="shared" si="456"/>
        <v>45449</v>
      </c>
      <c r="DP345" s="112">
        <f t="shared" ca="1" si="457"/>
        <v>0</v>
      </c>
      <c r="DQ345" s="112">
        <f t="shared" si="458"/>
        <v>0</v>
      </c>
      <c r="DR345" s="4">
        <f t="shared" si="459"/>
        <v>45449</v>
      </c>
      <c r="DS345" s="112">
        <f t="shared" ca="1" si="460"/>
        <v>0</v>
      </c>
      <c r="DT345" s="112">
        <f t="shared" si="461"/>
        <v>0</v>
      </c>
      <c r="DU345" s="4">
        <f t="shared" si="462"/>
        <v>45449</v>
      </c>
      <c r="DV345" s="112">
        <f t="shared" si="463"/>
        <v>0</v>
      </c>
      <c r="DW345" s="112">
        <f t="shared" si="464"/>
        <v>0</v>
      </c>
    </row>
    <row r="346" spans="17:127" x14ac:dyDescent="0.25">
      <c r="Q346" s="4">
        <f t="shared" si="411"/>
        <v>45450</v>
      </c>
      <c r="R346" s="24">
        <f t="shared" si="412"/>
        <v>0</v>
      </c>
      <c r="S346" s="25">
        <f t="shared" si="413"/>
        <v>0</v>
      </c>
      <c r="T346" s="24">
        <f t="shared" si="414"/>
        <v>0</v>
      </c>
      <c r="U346" s="25">
        <f t="shared" si="415"/>
        <v>0</v>
      </c>
      <c r="V346" s="24">
        <f t="shared" si="416"/>
        <v>0</v>
      </c>
      <c r="W346" s="25">
        <f t="shared" si="417"/>
        <v>0</v>
      </c>
      <c r="X346" s="24">
        <f t="shared" si="418"/>
        <v>0</v>
      </c>
      <c r="Y346" s="26">
        <f t="shared" si="419"/>
        <v>0</v>
      </c>
      <c r="Z346" s="27">
        <f t="shared" si="420"/>
        <v>0</v>
      </c>
      <c r="AA346" s="28">
        <f t="shared" si="421"/>
        <v>45450</v>
      </c>
      <c r="AB346" s="24">
        <f t="shared" si="422"/>
        <v>0</v>
      </c>
      <c r="AC346" s="25">
        <f t="shared" si="423"/>
        <v>0</v>
      </c>
      <c r="AD346" s="28">
        <f t="shared" si="424"/>
        <v>45450</v>
      </c>
      <c r="AE346" s="24">
        <f t="shared" si="425"/>
        <v>0</v>
      </c>
      <c r="AF346" s="25">
        <f t="shared" si="426"/>
        <v>0</v>
      </c>
      <c r="AG346" s="28">
        <f t="shared" si="427"/>
        <v>45450</v>
      </c>
      <c r="AH346" s="24">
        <f t="shared" si="428"/>
        <v>0</v>
      </c>
      <c r="AI346" s="25">
        <f t="shared" si="429"/>
        <v>0</v>
      </c>
      <c r="AJ346" s="28">
        <f t="shared" si="430"/>
        <v>45450</v>
      </c>
      <c r="AK346" s="24">
        <f t="shared" si="431"/>
        <v>0</v>
      </c>
      <c r="AL346" s="25">
        <f t="shared" si="432"/>
        <v>0</v>
      </c>
      <c r="AM346" s="29">
        <f t="shared" si="433"/>
        <v>0</v>
      </c>
      <c r="AN346" s="28">
        <f t="shared" si="434"/>
        <v>45450</v>
      </c>
      <c r="AO346" s="373">
        <f t="shared" si="403"/>
        <v>0</v>
      </c>
      <c r="AP346" s="374">
        <f t="shared" si="404"/>
        <v>0</v>
      </c>
      <c r="AQ346" s="27">
        <f t="shared" si="405"/>
        <v>0</v>
      </c>
      <c r="AR346" s="25">
        <f t="shared" si="406"/>
        <v>0</v>
      </c>
      <c r="AS346" s="25">
        <f t="shared" si="407"/>
        <v>0</v>
      </c>
      <c r="AT346" s="25">
        <f t="shared" si="408"/>
        <v>0</v>
      </c>
      <c r="AU346" s="29">
        <f t="shared" si="465"/>
        <v>0</v>
      </c>
      <c r="AV346" s="27">
        <f t="shared" si="435"/>
        <v>0</v>
      </c>
      <c r="AW346" s="27">
        <f t="shared" si="436"/>
        <v>0</v>
      </c>
      <c r="AX346" s="27">
        <f t="shared" si="437"/>
        <v>0</v>
      </c>
      <c r="AY346" s="27">
        <f t="shared" si="438"/>
        <v>0</v>
      </c>
      <c r="BH346" s="2">
        <f t="shared" si="439"/>
        <v>0</v>
      </c>
      <c r="BI346" s="298" t="str">
        <f t="shared" si="440"/>
        <v/>
      </c>
      <c r="BJ346" s="298" t="str">
        <f t="shared" si="409"/>
        <v/>
      </c>
      <c r="BQ346" s="4">
        <f t="shared" si="441"/>
        <v>45450</v>
      </c>
      <c r="BR346" s="112">
        <f t="shared" si="442"/>
        <v>0</v>
      </c>
      <c r="BS346" s="112">
        <f t="shared" si="443"/>
        <v>0</v>
      </c>
      <c r="BT346" s="112">
        <f t="shared" si="444"/>
        <v>0</v>
      </c>
      <c r="BU346" s="112">
        <f t="shared" si="445"/>
        <v>0</v>
      </c>
      <c r="BV346" s="112">
        <f t="shared" si="446"/>
        <v>0</v>
      </c>
      <c r="CI346" s="4">
        <f t="shared" si="447"/>
        <v>45450</v>
      </c>
      <c r="CJ346" s="50">
        <f ca="1">IF($BH346=0,IF($CO346="",CJ345+R346,IF('283'!$K$251=1,VLOOKUP($CO346,PerStBal,2)+R346,IF('283'!$K$253=1,(VLOOKUP($CO346,PerPortion,2)*VLOOKUP($CO346,PerStBal,6))+R346,GL!BS346))),0)</f>
        <v>0</v>
      </c>
      <c r="CK346" s="425">
        <f ca="1">IF($BH346=0,IF($CO346="",CK345+T346,IF('283'!$K$251=1,IF(mname2&lt;&gt;"",VLOOKUP($CO346,PerStBal,3)+T346,0),IF('283'!$K$253=1,(VLOOKUP($CO346,PerPortion,3)*VLOOKUP($CO346,PerStBal,6))+T346,GL!BT346))),0)</f>
        <v>0</v>
      </c>
      <c r="CL346" s="425">
        <f ca="1">IF($BH346=0,IF($CO346="",CL345+V346,IF('283'!$K$251=1,IF(mname3&lt;&gt;"",VLOOKUP($CO346,PerStBal,4)+V346,0),IF('283'!$K$253=1,(VLOOKUP($CO346,PerPortion,4)*VLOOKUP($CO346,PerStBal,6))+V346,GL!BU346))),0)</f>
        <v>0</v>
      </c>
      <c r="CM346" s="425">
        <f ca="1">IF($BH346=0,IF($CO346="",CM345+X346,IF('283'!$K$251=1,IF(mname4&lt;&gt;"",VLOOKUP($CO346,PerStBal,5)+X346,0),IF('283'!$K$253=1,(VLOOKUP($CO346,PerPortion,5)*VLOOKUP($CO346,PerStBal,6))+X346,GL!BV346))),0)</f>
        <v>0</v>
      </c>
      <c r="CN346" s="50">
        <f t="shared" ca="1" si="448"/>
        <v>0</v>
      </c>
      <c r="CO346" s="4" t="str">
        <f t="shared" ca="1" si="449"/>
        <v/>
      </c>
      <c r="CP346" s="377">
        <f t="shared" si="410"/>
        <v>0</v>
      </c>
      <c r="DI346" s="4">
        <f t="shared" si="450"/>
        <v>45450</v>
      </c>
      <c r="DJ346" s="112">
        <f t="shared" ca="1" si="451"/>
        <v>0</v>
      </c>
      <c r="DK346" s="112">
        <f t="shared" si="452"/>
        <v>0</v>
      </c>
      <c r="DL346" s="4">
        <f t="shared" si="453"/>
        <v>45450</v>
      </c>
      <c r="DM346" s="112">
        <f t="shared" ca="1" si="454"/>
        <v>0</v>
      </c>
      <c r="DN346" s="112">
        <f t="shared" si="455"/>
        <v>0</v>
      </c>
      <c r="DO346" s="4">
        <f t="shared" si="456"/>
        <v>45450</v>
      </c>
      <c r="DP346" s="112">
        <f t="shared" ca="1" si="457"/>
        <v>0</v>
      </c>
      <c r="DQ346" s="112">
        <f t="shared" si="458"/>
        <v>0</v>
      </c>
      <c r="DR346" s="4">
        <f t="shared" si="459"/>
        <v>45450</v>
      </c>
      <c r="DS346" s="112">
        <f t="shared" ca="1" si="460"/>
        <v>0</v>
      </c>
      <c r="DT346" s="112">
        <f t="shared" si="461"/>
        <v>0</v>
      </c>
      <c r="DU346" s="4">
        <f t="shared" si="462"/>
        <v>45450</v>
      </c>
      <c r="DV346" s="112">
        <f t="shared" si="463"/>
        <v>0</v>
      </c>
      <c r="DW346" s="112">
        <f t="shared" si="464"/>
        <v>0</v>
      </c>
    </row>
    <row r="347" spans="17:127" x14ac:dyDescent="0.25">
      <c r="Q347" s="4">
        <f t="shared" si="411"/>
        <v>45451</v>
      </c>
      <c r="R347" s="24">
        <f t="shared" si="412"/>
        <v>0</v>
      </c>
      <c r="S347" s="25">
        <f t="shared" si="413"/>
        <v>0</v>
      </c>
      <c r="T347" s="24">
        <f t="shared" si="414"/>
        <v>0</v>
      </c>
      <c r="U347" s="25">
        <f t="shared" si="415"/>
        <v>0</v>
      </c>
      <c r="V347" s="24">
        <f t="shared" si="416"/>
        <v>0</v>
      </c>
      <c r="W347" s="25">
        <f t="shared" si="417"/>
        <v>0</v>
      </c>
      <c r="X347" s="24">
        <f t="shared" si="418"/>
        <v>0</v>
      </c>
      <c r="Y347" s="26">
        <f t="shared" si="419"/>
        <v>0</v>
      </c>
      <c r="Z347" s="27">
        <f t="shared" si="420"/>
        <v>0</v>
      </c>
      <c r="AA347" s="28">
        <f t="shared" si="421"/>
        <v>45451</v>
      </c>
      <c r="AB347" s="24">
        <f t="shared" si="422"/>
        <v>0</v>
      </c>
      <c r="AC347" s="25">
        <f t="shared" si="423"/>
        <v>0</v>
      </c>
      <c r="AD347" s="28">
        <f t="shared" si="424"/>
        <v>45451</v>
      </c>
      <c r="AE347" s="24">
        <f t="shared" si="425"/>
        <v>0</v>
      </c>
      <c r="AF347" s="25">
        <f t="shared" si="426"/>
        <v>0</v>
      </c>
      <c r="AG347" s="28">
        <f t="shared" si="427"/>
        <v>45451</v>
      </c>
      <c r="AH347" s="24">
        <f t="shared" si="428"/>
        <v>0</v>
      </c>
      <c r="AI347" s="25">
        <f t="shared" si="429"/>
        <v>0</v>
      </c>
      <c r="AJ347" s="28">
        <f t="shared" si="430"/>
        <v>45451</v>
      </c>
      <c r="AK347" s="24">
        <f t="shared" si="431"/>
        <v>0</v>
      </c>
      <c r="AL347" s="25">
        <f t="shared" si="432"/>
        <v>0</v>
      </c>
      <c r="AM347" s="29">
        <f t="shared" si="433"/>
        <v>0</v>
      </c>
      <c r="AN347" s="28">
        <f t="shared" si="434"/>
        <v>45451</v>
      </c>
      <c r="AO347" s="373">
        <f t="shared" si="403"/>
        <v>0</v>
      </c>
      <c r="AP347" s="374">
        <f t="shared" si="404"/>
        <v>0</v>
      </c>
      <c r="AQ347" s="27">
        <f t="shared" si="405"/>
        <v>0</v>
      </c>
      <c r="AR347" s="25">
        <f t="shared" si="406"/>
        <v>0</v>
      </c>
      <c r="AS347" s="25">
        <f t="shared" si="407"/>
        <v>0</v>
      </c>
      <c r="AT347" s="25">
        <f t="shared" si="408"/>
        <v>0</v>
      </c>
      <c r="AU347" s="29">
        <f t="shared" si="465"/>
        <v>0</v>
      </c>
      <c r="AV347" s="27">
        <f t="shared" si="435"/>
        <v>0</v>
      </c>
      <c r="AW347" s="27">
        <f t="shared" si="436"/>
        <v>0</v>
      </c>
      <c r="AX347" s="27">
        <f t="shared" si="437"/>
        <v>0</v>
      </c>
      <c r="AY347" s="27">
        <f t="shared" si="438"/>
        <v>0</v>
      </c>
      <c r="BH347" s="2">
        <f t="shared" si="439"/>
        <v>0</v>
      </c>
      <c r="BI347" s="298" t="str">
        <f t="shared" si="440"/>
        <v/>
      </c>
      <c r="BJ347" s="298" t="str">
        <f t="shared" si="409"/>
        <v/>
      </c>
      <c r="BQ347" s="4">
        <f t="shared" si="441"/>
        <v>45451</v>
      </c>
      <c r="BR347" s="112">
        <f t="shared" si="442"/>
        <v>0</v>
      </c>
      <c r="BS347" s="112">
        <f t="shared" si="443"/>
        <v>0</v>
      </c>
      <c r="BT347" s="112">
        <f t="shared" si="444"/>
        <v>0</v>
      </c>
      <c r="BU347" s="112">
        <f t="shared" si="445"/>
        <v>0</v>
      </c>
      <c r="BV347" s="112">
        <f t="shared" si="446"/>
        <v>0</v>
      </c>
      <c r="CI347" s="4">
        <f t="shared" si="447"/>
        <v>45451</v>
      </c>
      <c r="CJ347" s="50">
        <f ca="1">IF($BH347=0,IF($CO347="",CJ346+R347,IF('283'!$K$251=1,VLOOKUP($CO347,PerStBal,2)+R347,IF('283'!$K$253=1,(VLOOKUP($CO347,PerPortion,2)*VLOOKUP($CO347,PerStBal,6))+R347,GL!BS347))),0)</f>
        <v>0</v>
      </c>
      <c r="CK347" s="425">
        <f ca="1">IF($BH347=0,IF($CO347="",CK346+T347,IF('283'!$K$251=1,IF(mname2&lt;&gt;"",VLOOKUP($CO347,PerStBal,3)+T347,0),IF('283'!$K$253=1,(VLOOKUP($CO347,PerPortion,3)*VLOOKUP($CO347,PerStBal,6))+T347,GL!BT347))),0)</f>
        <v>0</v>
      </c>
      <c r="CL347" s="425">
        <f ca="1">IF($BH347=0,IF($CO347="",CL346+V347,IF('283'!$K$251=1,IF(mname3&lt;&gt;"",VLOOKUP($CO347,PerStBal,4)+V347,0),IF('283'!$K$253=1,(VLOOKUP($CO347,PerPortion,4)*VLOOKUP($CO347,PerStBal,6))+V347,GL!BU347))),0)</f>
        <v>0</v>
      </c>
      <c r="CM347" s="425">
        <f ca="1">IF($BH347=0,IF($CO347="",CM346+X347,IF('283'!$K$251=1,IF(mname4&lt;&gt;"",VLOOKUP($CO347,PerStBal,5)+X347,0),IF('283'!$K$253=1,(VLOOKUP($CO347,PerPortion,5)*VLOOKUP($CO347,PerStBal,6))+X347,GL!BV347))),0)</f>
        <v>0</v>
      </c>
      <c r="CN347" s="50">
        <f t="shared" ca="1" si="448"/>
        <v>0</v>
      </c>
      <c r="CO347" s="4" t="str">
        <f t="shared" ca="1" si="449"/>
        <v/>
      </c>
      <c r="CP347" s="377">
        <f t="shared" si="410"/>
        <v>0</v>
      </c>
      <c r="DI347" s="4">
        <f t="shared" si="450"/>
        <v>45451</v>
      </c>
      <c r="DJ347" s="112">
        <f t="shared" ca="1" si="451"/>
        <v>0</v>
      </c>
      <c r="DK347" s="112">
        <f t="shared" si="452"/>
        <v>0</v>
      </c>
      <c r="DL347" s="4">
        <f t="shared" si="453"/>
        <v>45451</v>
      </c>
      <c r="DM347" s="112">
        <f t="shared" ca="1" si="454"/>
        <v>0</v>
      </c>
      <c r="DN347" s="112">
        <f t="shared" si="455"/>
        <v>0</v>
      </c>
      <c r="DO347" s="4">
        <f t="shared" si="456"/>
        <v>45451</v>
      </c>
      <c r="DP347" s="112">
        <f t="shared" ca="1" si="457"/>
        <v>0</v>
      </c>
      <c r="DQ347" s="112">
        <f t="shared" si="458"/>
        <v>0</v>
      </c>
      <c r="DR347" s="4">
        <f t="shared" si="459"/>
        <v>45451</v>
      </c>
      <c r="DS347" s="112">
        <f t="shared" ca="1" si="460"/>
        <v>0</v>
      </c>
      <c r="DT347" s="112">
        <f t="shared" si="461"/>
        <v>0</v>
      </c>
      <c r="DU347" s="4">
        <f t="shared" si="462"/>
        <v>45451</v>
      </c>
      <c r="DV347" s="112">
        <f t="shared" si="463"/>
        <v>0</v>
      </c>
      <c r="DW347" s="112">
        <f t="shared" si="464"/>
        <v>0</v>
      </c>
    </row>
    <row r="348" spans="17:127" x14ac:dyDescent="0.25">
      <c r="Q348" s="4">
        <f t="shared" si="411"/>
        <v>45452</v>
      </c>
      <c r="R348" s="24">
        <f t="shared" si="412"/>
        <v>0</v>
      </c>
      <c r="S348" s="25">
        <f t="shared" si="413"/>
        <v>0</v>
      </c>
      <c r="T348" s="24">
        <f t="shared" si="414"/>
        <v>0</v>
      </c>
      <c r="U348" s="25">
        <f t="shared" si="415"/>
        <v>0</v>
      </c>
      <c r="V348" s="24">
        <f t="shared" si="416"/>
        <v>0</v>
      </c>
      <c r="W348" s="25">
        <f t="shared" si="417"/>
        <v>0</v>
      </c>
      <c r="X348" s="24">
        <f t="shared" si="418"/>
        <v>0</v>
      </c>
      <c r="Y348" s="26">
        <f t="shared" si="419"/>
        <v>0</v>
      </c>
      <c r="Z348" s="27">
        <f t="shared" si="420"/>
        <v>0</v>
      </c>
      <c r="AA348" s="28">
        <f t="shared" si="421"/>
        <v>45452</v>
      </c>
      <c r="AB348" s="24">
        <f t="shared" si="422"/>
        <v>0</v>
      </c>
      <c r="AC348" s="25">
        <f t="shared" si="423"/>
        <v>0</v>
      </c>
      <c r="AD348" s="28">
        <f t="shared" si="424"/>
        <v>45452</v>
      </c>
      <c r="AE348" s="24">
        <f t="shared" si="425"/>
        <v>0</v>
      </c>
      <c r="AF348" s="25">
        <f t="shared" si="426"/>
        <v>0</v>
      </c>
      <c r="AG348" s="28">
        <f t="shared" si="427"/>
        <v>45452</v>
      </c>
      <c r="AH348" s="24">
        <f t="shared" si="428"/>
        <v>0</v>
      </c>
      <c r="AI348" s="25">
        <f t="shared" si="429"/>
        <v>0</v>
      </c>
      <c r="AJ348" s="28">
        <f t="shared" si="430"/>
        <v>45452</v>
      </c>
      <c r="AK348" s="24">
        <f t="shared" si="431"/>
        <v>0</v>
      </c>
      <c r="AL348" s="25">
        <f t="shared" si="432"/>
        <v>0</v>
      </c>
      <c r="AM348" s="29">
        <f t="shared" si="433"/>
        <v>0</v>
      </c>
      <c r="AN348" s="28">
        <f t="shared" si="434"/>
        <v>45452</v>
      </c>
      <c r="AO348" s="373">
        <f t="shared" si="403"/>
        <v>0</v>
      </c>
      <c r="AP348" s="374">
        <f t="shared" si="404"/>
        <v>0</v>
      </c>
      <c r="AQ348" s="27">
        <f t="shared" si="405"/>
        <v>0</v>
      </c>
      <c r="AR348" s="25">
        <f t="shared" si="406"/>
        <v>0</v>
      </c>
      <c r="AS348" s="25">
        <f t="shared" si="407"/>
        <v>0</v>
      </c>
      <c r="AT348" s="25">
        <f t="shared" si="408"/>
        <v>0</v>
      </c>
      <c r="AU348" s="29">
        <f t="shared" si="465"/>
        <v>0</v>
      </c>
      <c r="AV348" s="27">
        <f t="shared" si="435"/>
        <v>0</v>
      </c>
      <c r="AW348" s="27">
        <f t="shared" si="436"/>
        <v>0</v>
      </c>
      <c r="AX348" s="27">
        <f t="shared" si="437"/>
        <v>0</v>
      </c>
      <c r="AY348" s="27">
        <f t="shared" si="438"/>
        <v>0</v>
      </c>
      <c r="BH348" s="2">
        <f t="shared" si="439"/>
        <v>0</v>
      </c>
      <c r="BI348" s="298" t="str">
        <f t="shared" si="440"/>
        <v/>
      </c>
      <c r="BJ348" s="298" t="str">
        <f t="shared" si="409"/>
        <v/>
      </c>
      <c r="BQ348" s="4">
        <f t="shared" si="441"/>
        <v>45452</v>
      </c>
      <c r="BR348" s="112">
        <f t="shared" si="442"/>
        <v>0</v>
      </c>
      <c r="BS348" s="112">
        <f t="shared" si="443"/>
        <v>0</v>
      </c>
      <c r="BT348" s="112">
        <f t="shared" si="444"/>
        <v>0</v>
      </c>
      <c r="BU348" s="112">
        <f t="shared" si="445"/>
        <v>0</v>
      </c>
      <c r="BV348" s="112">
        <f t="shared" si="446"/>
        <v>0</v>
      </c>
      <c r="CI348" s="4">
        <f t="shared" si="447"/>
        <v>45452</v>
      </c>
      <c r="CJ348" s="50">
        <f ca="1">IF($BH348=0,IF($CO348="",CJ347+R348,IF('283'!$K$251=1,VLOOKUP($CO348,PerStBal,2)+R348,IF('283'!$K$253=1,(VLOOKUP($CO348,PerPortion,2)*VLOOKUP($CO348,PerStBal,6))+R348,GL!BS348))),0)</f>
        <v>0</v>
      </c>
      <c r="CK348" s="425">
        <f ca="1">IF($BH348=0,IF($CO348="",CK347+T348,IF('283'!$K$251=1,IF(mname2&lt;&gt;"",VLOOKUP($CO348,PerStBal,3)+T348,0),IF('283'!$K$253=1,(VLOOKUP($CO348,PerPortion,3)*VLOOKUP($CO348,PerStBal,6))+T348,GL!BT348))),0)</f>
        <v>0</v>
      </c>
      <c r="CL348" s="425">
        <f ca="1">IF($BH348=0,IF($CO348="",CL347+V348,IF('283'!$K$251=1,IF(mname3&lt;&gt;"",VLOOKUP($CO348,PerStBal,4)+V348,0),IF('283'!$K$253=1,(VLOOKUP($CO348,PerPortion,4)*VLOOKUP($CO348,PerStBal,6))+V348,GL!BU348))),0)</f>
        <v>0</v>
      </c>
      <c r="CM348" s="425">
        <f ca="1">IF($BH348=0,IF($CO348="",CM347+X348,IF('283'!$K$251=1,IF(mname4&lt;&gt;"",VLOOKUP($CO348,PerStBal,5)+X348,0),IF('283'!$K$253=1,(VLOOKUP($CO348,PerPortion,5)*VLOOKUP($CO348,PerStBal,6))+X348,GL!BV348))),0)</f>
        <v>0</v>
      </c>
      <c r="CN348" s="50">
        <f t="shared" ca="1" si="448"/>
        <v>0</v>
      </c>
      <c r="CO348" s="4" t="str">
        <f t="shared" ca="1" si="449"/>
        <v/>
      </c>
      <c r="CP348" s="377">
        <f t="shared" si="410"/>
        <v>0</v>
      </c>
      <c r="DI348" s="4">
        <f t="shared" si="450"/>
        <v>45452</v>
      </c>
      <c r="DJ348" s="112">
        <f t="shared" ca="1" si="451"/>
        <v>0</v>
      </c>
      <c r="DK348" s="112">
        <f t="shared" si="452"/>
        <v>0</v>
      </c>
      <c r="DL348" s="4">
        <f t="shared" si="453"/>
        <v>45452</v>
      </c>
      <c r="DM348" s="112">
        <f t="shared" ca="1" si="454"/>
        <v>0</v>
      </c>
      <c r="DN348" s="112">
        <f t="shared" si="455"/>
        <v>0</v>
      </c>
      <c r="DO348" s="4">
        <f t="shared" si="456"/>
        <v>45452</v>
      </c>
      <c r="DP348" s="112">
        <f t="shared" ca="1" si="457"/>
        <v>0</v>
      </c>
      <c r="DQ348" s="112">
        <f t="shared" si="458"/>
        <v>0</v>
      </c>
      <c r="DR348" s="4">
        <f t="shared" si="459"/>
        <v>45452</v>
      </c>
      <c r="DS348" s="112">
        <f t="shared" ca="1" si="460"/>
        <v>0</v>
      </c>
      <c r="DT348" s="112">
        <f t="shared" si="461"/>
        <v>0</v>
      </c>
      <c r="DU348" s="4">
        <f t="shared" si="462"/>
        <v>45452</v>
      </c>
      <c r="DV348" s="112">
        <f t="shared" si="463"/>
        <v>0</v>
      </c>
      <c r="DW348" s="112">
        <f t="shared" si="464"/>
        <v>0</v>
      </c>
    </row>
    <row r="349" spans="17:127" x14ac:dyDescent="0.25">
      <c r="Q349" s="4">
        <f t="shared" si="411"/>
        <v>45453</v>
      </c>
      <c r="R349" s="24">
        <f t="shared" si="412"/>
        <v>0</v>
      </c>
      <c r="S349" s="25">
        <f t="shared" si="413"/>
        <v>0</v>
      </c>
      <c r="T349" s="24">
        <f t="shared" si="414"/>
        <v>0</v>
      </c>
      <c r="U349" s="25">
        <f t="shared" si="415"/>
        <v>0</v>
      </c>
      <c r="V349" s="24">
        <f t="shared" si="416"/>
        <v>0</v>
      </c>
      <c r="W349" s="25">
        <f t="shared" si="417"/>
        <v>0</v>
      </c>
      <c r="X349" s="24">
        <f t="shared" si="418"/>
        <v>0</v>
      </c>
      <c r="Y349" s="26">
        <f t="shared" si="419"/>
        <v>0</v>
      </c>
      <c r="Z349" s="27">
        <f t="shared" si="420"/>
        <v>0</v>
      </c>
      <c r="AA349" s="28">
        <f t="shared" si="421"/>
        <v>45453</v>
      </c>
      <c r="AB349" s="24">
        <f t="shared" si="422"/>
        <v>0</v>
      </c>
      <c r="AC349" s="25">
        <f t="shared" si="423"/>
        <v>0</v>
      </c>
      <c r="AD349" s="28">
        <f t="shared" si="424"/>
        <v>45453</v>
      </c>
      <c r="AE349" s="24">
        <f t="shared" si="425"/>
        <v>0</v>
      </c>
      <c r="AF349" s="25">
        <f t="shared" si="426"/>
        <v>0</v>
      </c>
      <c r="AG349" s="28">
        <f t="shared" si="427"/>
        <v>45453</v>
      </c>
      <c r="AH349" s="24">
        <f t="shared" si="428"/>
        <v>0</v>
      </c>
      <c r="AI349" s="25">
        <f t="shared" si="429"/>
        <v>0</v>
      </c>
      <c r="AJ349" s="28">
        <f t="shared" si="430"/>
        <v>45453</v>
      </c>
      <c r="AK349" s="24">
        <f t="shared" si="431"/>
        <v>0</v>
      </c>
      <c r="AL349" s="25">
        <f t="shared" si="432"/>
        <v>0</v>
      </c>
      <c r="AM349" s="29">
        <f t="shared" si="433"/>
        <v>0</v>
      </c>
      <c r="AN349" s="28">
        <f t="shared" si="434"/>
        <v>45453</v>
      </c>
      <c r="AO349" s="373">
        <f t="shared" si="403"/>
        <v>0</v>
      </c>
      <c r="AP349" s="374">
        <f t="shared" si="404"/>
        <v>0</v>
      </c>
      <c r="AQ349" s="27">
        <f t="shared" si="405"/>
        <v>0</v>
      </c>
      <c r="AR349" s="25">
        <f t="shared" si="406"/>
        <v>0</v>
      </c>
      <c r="AS349" s="25">
        <f t="shared" si="407"/>
        <v>0</v>
      </c>
      <c r="AT349" s="25">
        <f t="shared" si="408"/>
        <v>0</v>
      </c>
      <c r="AU349" s="29">
        <f t="shared" si="465"/>
        <v>0</v>
      </c>
      <c r="AV349" s="27">
        <f t="shared" si="435"/>
        <v>0</v>
      </c>
      <c r="AW349" s="27">
        <f t="shared" si="436"/>
        <v>0</v>
      </c>
      <c r="AX349" s="27">
        <f t="shared" si="437"/>
        <v>0</v>
      </c>
      <c r="AY349" s="27">
        <f t="shared" si="438"/>
        <v>0</v>
      </c>
      <c r="BH349" s="2">
        <f t="shared" si="439"/>
        <v>0</v>
      </c>
      <c r="BI349" s="298" t="str">
        <f t="shared" si="440"/>
        <v/>
      </c>
      <c r="BJ349" s="298" t="str">
        <f t="shared" si="409"/>
        <v/>
      </c>
      <c r="BQ349" s="4">
        <f t="shared" si="441"/>
        <v>45453</v>
      </c>
      <c r="BR349" s="112">
        <f t="shared" si="442"/>
        <v>0</v>
      </c>
      <c r="BS349" s="112">
        <f t="shared" si="443"/>
        <v>0</v>
      </c>
      <c r="BT349" s="112">
        <f t="shared" si="444"/>
        <v>0</v>
      </c>
      <c r="BU349" s="112">
        <f t="shared" si="445"/>
        <v>0</v>
      </c>
      <c r="BV349" s="112">
        <f t="shared" si="446"/>
        <v>0</v>
      </c>
      <c r="CI349" s="4">
        <f t="shared" si="447"/>
        <v>45453</v>
      </c>
      <c r="CJ349" s="50">
        <f ca="1">IF($BH349=0,IF($CO349="",CJ348+R349,IF('283'!$K$251=1,VLOOKUP($CO349,PerStBal,2)+R349,IF('283'!$K$253=1,(VLOOKUP($CO349,PerPortion,2)*VLOOKUP($CO349,PerStBal,6))+R349,GL!BS349))),0)</f>
        <v>0</v>
      </c>
      <c r="CK349" s="425">
        <f ca="1">IF($BH349=0,IF($CO349="",CK348+T349,IF('283'!$K$251=1,IF(mname2&lt;&gt;"",VLOOKUP($CO349,PerStBal,3)+T349,0),IF('283'!$K$253=1,(VLOOKUP($CO349,PerPortion,3)*VLOOKUP($CO349,PerStBal,6))+T349,GL!BT349))),0)</f>
        <v>0</v>
      </c>
      <c r="CL349" s="425">
        <f ca="1">IF($BH349=0,IF($CO349="",CL348+V349,IF('283'!$K$251=1,IF(mname3&lt;&gt;"",VLOOKUP($CO349,PerStBal,4)+V349,0),IF('283'!$K$253=1,(VLOOKUP($CO349,PerPortion,4)*VLOOKUP($CO349,PerStBal,6))+V349,GL!BU349))),0)</f>
        <v>0</v>
      </c>
      <c r="CM349" s="425">
        <f ca="1">IF($BH349=0,IF($CO349="",CM348+X349,IF('283'!$K$251=1,IF(mname4&lt;&gt;"",VLOOKUP($CO349,PerStBal,5)+X349,0),IF('283'!$K$253=1,(VLOOKUP($CO349,PerPortion,5)*VLOOKUP($CO349,PerStBal,6))+X349,GL!BV349))),0)</f>
        <v>0</v>
      </c>
      <c r="CN349" s="50">
        <f t="shared" ca="1" si="448"/>
        <v>0</v>
      </c>
      <c r="CO349" s="4" t="str">
        <f t="shared" ca="1" si="449"/>
        <v/>
      </c>
      <c r="CP349" s="377">
        <f t="shared" si="410"/>
        <v>0</v>
      </c>
      <c r="DI349" s="4">
        <f t="shared" si="450"/>
        <v>45453</v>
      </c>
      <c r="DJ349" s="112">
        <f t="shared" ca="1" si="451"/>
        <v>0</v>
      </c>
      <c r="DK349" s="112">
        <f t="shared" si="452"/>
        <v>0</v>
      </c>
      <c r="DL349" s="4">
        <f t="shared" si="453"/>
        <v>45453</v>
      </c>
      <c r="DM349" s="112">
        <f t="shared" ca="1" si="454"/>
        <v>0</v>
      </c>
      <c r="DN349" s="112">
        <f t="shared" si="455"/>
        <v>0</v>
      </c>
      <c r="DO349" s="4">
        <f t="shared" si="456"/>
        <v>45453</v>
      </c>
      <c r="DP349" s="112">
        <f t="shared" ca="1" si="457"/>
        <v>0</v>
      </c>
      <c r="DQ349" s="112">
        <f t="shared" si="458"/>
        <v>0</v>
      </c>
      <c r="DR349" s="4">
        <f t="shared" si="459"/>
        <v>45453</v>
      </c>
      <c r="DS349" s="112">
        <f t="shared" ca="1" si="460"/>
        <v>0</v>
      </c>
      <c r="DT349" s="112">
        <f t="shared" si="461"/>
        <v>0</v>
      </c>
      <c r="DU349" s="4">
        <f t="shared" si="462"/>
        <v>45453</v>
      </c>
      <c r="DV349" s="112">
        <f t="shared" si="463"/>
        <v>0</v>
      </c>
      <c r="DW349" s="112">
        <f t="shared" si="464"/>
        <v>0</v>
      </c>
    </row>
    <row r="350" spans="17:127" x14ac:dyDescent="0.25">
      <c r="Q350" s="4">
        <f t="shared" si="411"/>
        <v>45454</v>
      </c>
      <c r="R350" s="24">
        <f t="shared" si="412"/>
        <v>0</v>
      </c>
      <c r="S350" s="25">
        <f t="shared" si="413"/>
        <v>0</v>
      </c>
      <c r="T350" s="24">
        <f t="shared" si="414"/>
        <v>0</v>
      </c>
      <c r="U350" s="25">
        <f t="shared" si="415"/>
        <v>0</v>
      </c>
      <c r="V350" s="24">
        <f t="shared" si="416"/>
        <v>0</v>
      </c>
      <c r="W350" s="25">
        <f t="shared" si="417"/>
        <v>0</v>
      </c>
      <c r="X350" s="24">
        <f t="shared" si="418"/>
        <v>0</v>
      </c>
      <c r="Y350" s="26">
        <f t="shared" si="419"/>
        <v>0</v>
      </c>
      <c r="Z350" s="27">
        <f t="shared" si="420"/>
        <v>0</v>
      </c>
      <c r="AA350" s="28">
        <f t="shared" si="421"/>
        <v>45454</v>
      </c>
      <c r="AB350" s="24">
        <f t="shared" si="422"/>
        <v>0</v>
      </c>
      <c r="AC350" s="25">
        <f t="shared" si="423"/>
        <v>0</v>
      </c>
      <c r="AD350" s="28">
        <f t="shared" si="424"/>
        <v>45454</v>
      </c>
      <c r="AE350" s="24">
        <f t="shared" si="425"/>
        <v>0</v>
      </c>
      <c r="AF350" s="25">
        <f t="shared" si="426"/>
        <v>0</v>
      </c>
      <c r="AG350" s="28">
        <f t="shared" si="427"/>
        <v>45454</v>
      </c>
      <c r="AH350" s="24">
        <f t="shared" si="428"/>
        <v>0</v>
      </c>
      <c r="AI350" s="25">
        <f t="shared" si="429"/>
        <v>0</v>
      </c>
      <c r="AJ350" s="28">
        <f t="shared" si="430"/>
        <v>45454</v>
      </c>
      <c r="AK350" s="24">
        <f t="shared" si="431"/>
        <v>0</v>
      </c>
      <c r="AL350" s="25">
        <f t="shared" si="432"/>
        <v>0</v>
      </c>
      <c r="AM350" s="29">
        <f t="shared" si="433"/>
        <v>0</v>
      </c>
      <c r="AN350" s="28">
        <f t="shared" si="434"/>
        <v>45454</v>
      </c>
      <c r="AO350" s="373">
        <f t="shared" si="403"/>
        <v>0</v>
      </c>
      <c r="AP350" s="374">
        <f t="shared" si="404"/>
        <v>0</v>
      </c>
      <c r="AQ350" s="27">
        <f t="shared" si="405"/>
        <v>0</v>
      </c>
      <c r="AR350" s="25">
        <f t="shared" si="406"/>
        <v>0</v>
      </c>
      <c r="AS350" s="25">
        <f t="shared" si="407"/>
        <v>0</v>
      </c>
      <c r="AT350" s="25">
        <f t="shared" si="408"/>
        <v>0</v>
      </c>
      <c r="AU350" s="29">
        <f t="shared" si="465"/>
        <v>0</v>
      </c>
      <c r="AV350" s="27">
        <f t="shared" si="435"/>
        <v>0</v>
      </c>
      <c r="AW350" s="27">
        <f t="shared" si="436"/>
        <v>0</v>
      </c>
      <c r="AX350" s="27">
        <f t="shared" si="437"/>
        <v>0</v>
      </c>
      <c r="AY350" s="27">
        <f t="shared" si="438"/>
        <v>0</v>
      </c>
      <c r="BH350" s="2">
        <f t="shared" si="439"/>
        <v>0</v>
      </c>
      <c r="BI350" s="298" t="str">
        <f t="shared" si="440"/>
        <v/>
      </c>
      <c r="BJ350" s="298" t="str">
        <f t="shared" si="409"/>
        <v/>
      </c>
      <c r="BQ350" s="4">
        <f t="shared" si="441"/>
        <v>45454</v>
      </c>
      <c r="BR350" s="112">
        <f t="shared" si="442"/>
        <v>0</v>
      </c>
      <c r="BS350" s="112">
        <f t="shared" si="443"/>
        <v>0</v>
      </c>
      <c r="BT350" s="112">
        <f t="shared" si="444"/>
        <v>0</v>
      </c>
      <c r="BU350" s="112">
        <f t="shared" si="445"/>
        <v>0</v>
      </c>
      <c r="BV350" s="112">
        <f t="shared" si="446"/>
        <v>0</v>
      </c>
      <c r="CI350" s="4">
        <f t="shared" si="447"/>
        <v>45454</v>
      </c>
      <c r="CJ350" s="50">
        <f ca="1">IF($BH350=0,IF($CO350="",CJ349+R350,IF('283'!$K$251=1,VLOOKUP($CO350,PerStBal,2)+R350,IF('283'!$K$253=1,(VLOOKUP($CO350,PerPortion,2)*VLOOKUP($CO350,PerStBal,6))+R350,GL!BS350))),0)</f>
        <v>0</v>
      </c>
      <c r="CK350" s="425">
        <f ca="1">IF($BH350=0,IF($CO350="",CK349+T350,IF('283'!$K$251=1,IF(mname2&lt;&gt;"",VLOOKUP($CO350,PerStBal,3)+T350,0),IF('283'!$K$253=1,(VLOOKUP($CO350,PerPortion,3)*VLOOKUP($CO350,PerStBal,6))+T350,GL!BT350))),0)</f>
        <v>0</v>
      </c>
      <c r="CL350" s="425">
        <f ca="1">IF($BH350=0,IF($CO350="",CL349+V350,IF('283'!$K$251=1,IF(mname3&lt;&gt;"",VLOOKUP($CO350,PerStBal,4)+V350,0),IF('283'!$K$253=1,(VLOOKUP($CO350,PerPortion,4)*VLOOKUP($CO350,PerStBal,6))+V350,GL!BU350))),0)</f>
        <v>0</v>
      </c>
      <c r="CM350" s="425">
        <f ca="1">IF($BH350=0,IF($CO350="",CM349+X350,IF('283'!$K$251=1,IF(mname4&lt;&gt;"",VLOOKUP($CO350,PerStBal,5)+X350,0),IF('283'!$K$253=1,(VLOOKUP($CO350,PerPortion,5)*VLOOKUP($CO350,PerStBal,6))+X350,GL!BV350))),0)</f>
        <v>0</v>
      </c>
      <c r="CN350" s="50">
        <f t="shared" ca="1" si="448"/>
        <v>0</v>
      </c>
      <c r="CO350" s="4" t="str">
        <f t="shared" ca="1" si="449"/>
        <v/>
      </c>
      <c r="CP350" s="377">
        <f t="shared" si="410"/>
        <v>0</v>
      </c>
      <c r="DI350" s="4">
        <f t="shared" si="450"/>
        <v>45454</v>
      </c>
      <c r="DJ350" s="112">
        <f t="shared" ca="1" si="451"/>
        <v>0</v>
      </c>
      <c r="DK350" s="112">
        <f t="shared" si="452"/>
        <v>0</v>
      </c>
      <c r="DL350" s="4">
        <f t="shared" si="453"/>
        <v>45454</v>
      </c>
      <c r="DM350" s="112">
        <f t="shared" ca="1" si="454"/>
        <v>0</v>
      </c>
      <c r="DN350" s="112">
        <f t="shared" si="455"/>
        <v>0</v>
      </c>
      <c r="DO350" s="4">
        <f t="shared" si="456"/>
        <v>45454</v>
      </c>
      <c r="DP350" s="112">
        <f t="shared" ca="1" si="457"/>
        <v>0</v>
      </c>
      <c r="DQ350" s="112">
        <f t="shared" si="458"/>
        <v>0</v>
      </c>
      <c r="DR350" s="4">
        <f t="shared" si="459"/>
        <v>45454</v>
      </c>
      <c r="DS350" s="112">
        <f t="shared" ca="1" si="460"/>
        <v>0</v>
      </c>
      <c r="DT350" s="112">
        <f t="shared" si="461"/>
        <v>0</v>
      </c>
      <c r="DU350" s="4">
        <f t="shared" si="462"/>
        <v>45454</v>
      </c>
      <c r="DV350" s="112">
        <f t="shared" si="463"/>
        <v>0</v>
      </c>
      <c r="DW350" s="112">
        <f t="shared" si="464"/>
        <v>0</v>
      </c>
    </row>
    <row r="351" spans="17:127" x14ac:dyDescent="0.25">
      <c r="Q351" s="4">
        <f t="shared" si="411"/>
        <v>45455</v>
      </c>
      <c r="R351" s="24">
        <f t="shared" si="412"/>
        <v>0</v>
      </c>
      <c r="S351" s="25">
        <f t="shared" si="413"/>
        <v>0</v>
      </c>
      <c r="T351" s="24">
        <f t="shared" si="414"/>
        <v>0</v>
      </c>
      <c r="U351" s="25">
        <f t="shared" si="415"/>
        <v>0</v>
      </c>
      <c r="V351" s="24">
        <f t="shared" si="416"/>
        <v>0</v>
      </c>
      <c r="W351" s="25">
        <f t="shared" si="417"/>
        <v>0</v>
      </c>
      <c r="X351" s="24">
        <f t="shared" si="418"/>
        <v>0</v>
      </c>
      <c r="Y351" s="26">
        <f t="shared" si="419"/>
        <v>0</v>
      </c>
      <c r="Z351" s="27">
        <f t="shared" si="420"/>
        <v>0</v>
      </c>
      <c r="AA351" s="28">
        <f t="shared" si="421"/>
        <v>45455</v>
      </c>
      <c r="AB351" s="24">
        <f t="shared" si="422"/>
        <v>0</v>
      </c>
      <c r="AC351" s="25">
        <f t="shared" si="423"/>
        <v>0</v>
      </c>
      <c r="AD351" s="28">
        <f t="shared" si="424"/>
        <v>45455</v>
      </c>
      <c r="AE351" s="24">
        <f t="shared" si="425"/>
        <v>0</v>
      </c>
      <c r="AF351" s="25">
        <f t="shared" si="426"/>
        <v>0</v>
      </c>
      <c r="AG351" s="28">
        <f t="shared" si="427"/>
        <v>45455</v>
      </c>
      <c r="AH351" s="24">
        <f t="shared" si="428"/>
        <v>0</v>
      </c>
      <c r="AI351" s="25">
        <f t="shared" si="429"/>
        <v>0</v>
      </c>
      <c r="AJ351" s="28">
        <f t="shared" si="430"/>
        <v>45455</v>
      </c>
      <c r="AK351" s="24">
        <f t="shared" si="431"/>
        <v>0</v>
      </c>
      <c r="AL351" s="25">
        <f t="shared" si="432"/>
        <v>0</v>
      </c>
      <c r="AM351" s="29">
        <f t="shared" si="433"/>
        <v>0</v>
      </c>
      <c r="AN351" s="28">
        <f t="shared" si="434"/>
        <v>45455</v>
      </c>
      <c r="AO351" s="373">
        <f t="shared" si="403"/>
        <v>0</v>
      </c>
      <c r="AP351" s="374">
        <f t="shared" si="404"/>
        <v>0</v>
      </c>
      <c r="AQ351" s="27">
        <f t="shared" si="405"/>
        <v>0</v>
      </c>
      <c r="AR351" s="25">
        <f t="shared" si="406"/>
        <v>0</v>
      </c>
      <c r="AS351" s="25">
        <f t="shared" si="407"/>
        <v>0</v>
      </c>
      <c r="AT351" s="25">
        <f t="shared" si="408"/>
        <v>0</v>
      </c>
      <c r="AU351" s="29">
        <f t="shared" si="465"/>
        <v>0</v>
      </c>
      <c r="AV351" s="27">
        <f t="shared" si="435"/>
        <v>0</v>
      </c>
      <c r="AW351" s="27">
        <f t="shared" si="436"/>
        <v>0</v>
      </c>
      <c r="AX351" s="27">
        <f t="shared" si="437"/>
        <v>0</v>
      </c>
      <c r="AY351" s="27">
        <f t="shared" si="438"/>
        <v>0</v>
      </c>
      <c r="BH351" s="2">
        <f t="shared" si="439"/>
        <v>0</v>
      </c>
      <c r="BI351" s="298" t="str">
        <f t="shared" si="440"/>
        <v/>
      </c>
      <c r="BJ351" s="298" t="str">
        <f t="shared" si="409"/>
        <v/>
      </c>
      <c r="BQ351" s="4">
        <f t="shared" si="441"/>
        <v>45455</v>
      </c>
      <c r="BR351" s="112">
        <f t="shared" si="442"/>
        <v>0</v>
      </c>
      <c r="BS351" s="112">
        <f t="shared" si="443"/>
        <v>0</v>
      </c>
      <c r="BT351" s="112">
        <f t="shared" si="444"/>
        <v>0</v>
      </c>
      <c r="BU351" s="112">
        <f t="shared" si="445"/>
        <v>0</v>
      </c>
      <c r="BV351" s="112">
        <f t="shared" si="446"/>
        <v>0</v>
      </c>
      <c r="CI351" s="4">
        <f t="shared" si="447"/>
        <v>45455</v>
      </c>
      <c r="CJ351" s="50">
        <f ca="1">IF($BH351=0,IF($CO351="",CJ350+R351,IF('283'!$K$251=1,VLOOKUP($CO351,PerStBal,2)+R351,IF('283'!$K$253=1,(VLOOKUP($CO351,PerPortion,2)*VLOOKUP($CO351,PerStBal,6))+R351,GL!BS351))),0)</f>
        <v>0</v>
      </c>
      <c r="CK351" s="425">
        <f ca="1">IF($BH351=0,IF($CO351="",CK350+T351,IF('283'!$K$251=1,IF(mname2&lt;&gt;"",VLOOKUP($CO351,PerStBal,3)+T351,0),IF('283'!$K$253=1,(VLOOKUP($CO351,PerPortion,3)*VLOOKUP($CO351,PerStBal,6))+T351,GL!BT351))),0)</f>
        <v>0</v>
      </c>
      <c r="CL351" s="425">
        <f ca="1">IF($BH351=0,IF($CO351="",CL350+V351,IF('283'!$K$251=1,IF(mname3&lt;&gt;"",VLOOKUP($CO351,PerStBal,4)+V351,0),IF('283'!$K$253=1,(VLOOKUP($CO351,PerPortion,4)*VLOOKUP($CO351,PerStBal,6))+V351,GL!BU351))),0)</f>
        <v>0</v>
      </c>
      <c r="CM351" s="425">
        <f ca="1">IF($BH351=0,IF($CO351="",CM350+X351,IF('283'!$K$251=1,IF(mname4&lt;&gt;"",VLOOKUP($CO351,PerStBal,5)+X351,0),IF('283'!$K$253=1,(VLOOKUP($CO351,PerPortion,5)*VLOOKUP($CO351,PerStBal,6))+X351,GL!BV351))),0)</f>
        <v>0</v>
      </c>
      <c r="CN351" s="50">
        <f t="shared" ca="1" si="448"/>
        <v>0</v>
      </c>
      <c r="CO351" s="4" t="str">
        <f t="shared" ca="1" si="449"/>
        <v/>
      </c>
      <c r="CP351" s="377">
        <f t="shared" si="410"/>
        <v>0</v>
      </c>
      <c r="DI351" s="4">
        <f t="shared" si="450"/>
        <v>45455</v>
      </c>
      <c r="DJ351" s="112">
        <f t="shared" ca="1" si="451"/>
        <v>0</v>
      </c>
      <c r="DK351" s="112">
        <f t="shared" si="452"/>
        <v>0</v>
      </c>
      <c r="DL351" s="4">
        <f t="shared" si="453"/>
        <v>45455</v>
      </c>
      <c r="DM351" s="112">
        <f t="shared" ca="1" si="454"/>
        <v>0</v>
      </c>
      <c r="DN351" s="112">
        <f t="shared" si="455"/>
        <v>0</v>
      </c>
      <c r="DO351" s="4">
        <f t="shared" si="456"/>
        <v>45455</v>
      </c>
      <c r="DP351" s="112">
        <f t="shared" ca="1" si="457"/>
        <v>0</v>
      </c>
      <c r="DQ351" s="112">
        <f t="shared" si="458"/>
        <v>0</v>
      </c>
      <c r="DR351" s="4">
        <f t="shared" si="459"/>
        <v>45455</v>
      </c>
      <c r="DS351" s="112">
        <f t="shared" ca="1" si="460"/>
        <v>0</v>
      </c>
      <c r="DT351" s="112">
        <f t="shared" si="461"/>
        <v>0</v>
      </c>
      <c r="DU351" s="4">
        <f t="shared" si="462"/>
        <v>45455</v>
      </c>
      <c r="DV351" s="112">
        <f t="shared" si="463"/>
        <v>0</v>
      </c>
      <c r="DW351" s="112">
        <f t="shared" si="464"/>
        <v>0</v>
      </c>
    </row>
    <row r="352" spans="17:127" x14ac:dyDescent="0.25">
      <c r="Q352" s="4">
        <f t="shared" si="411"/>
        <v>45456</v>
      </c>
      <c r="R352" s="24">
        <f t="shared" si="412"/>
        <v>0</v>
      </c>
      <c r="S352" s="25">
        <f t="shared" si="413"/>
        <v>0</v>
      </c>
      <c r="T352" s="24">
        <f t="shared" si="414"/>
        <v>0</v>
      </c>
      <c r="U352" s="25">
        <f t="shared" si="415"/>
        <v>0</v>
      </c>
      <c r="V352" s="24">
        <f t="shared" si="416"/>
        <v>0</v>
      </c>
      <c r="W352" s="25">
        <f t="shared" si="417"/>
        <v>0</v>
      </c>
      <c r="X352" s="24">
        <f t="shared" si="418"/>
        <v>0</v>
      </c>
      <c r="Y352" s="26">
        <f t="shared" si="419"/>
        <v>0</v>
      </c>
      <c r="Z352" s="27">
        <f t="shared" si="420"/>
        <v>0</v>
      </c>
      <c r="AA352" s="28">
        <f t="shared" si="421"/>
        <v>45456</v>
      </c>
      <c r="AB352" s="24">
        <f t="shared" si="422"/>
        <v>0</v>
      </c>
      <c r="AC352" s="25">
        <f t="shared" si="423"/>
        <v>0</v>
      </c>
      <c r="AD352" s="28">
        <f t="shared" si="424"/>
        <v>45456</v>
      </c>
      <c r="AE352" s="24">
        <f t="shared" si="425"/>
        <v>0</v>
      </c>
      <c r="AF352" s="25">
        <f t="shared" si="426"/>
        <v>0</v>
      </c>
      <c r="AG352" s="28">
        <f t="shared" si="427"/>
        <v>45456</v>
      </c>
      <c r="AH352" s="24">
        <f t="shared" si="428"/>
        <v>0</v>
      </c>
      <c r="AI352" s="25">
        <f t="shared" si="429"/>
        <v>0</v>
      </c>
      <c r="AJ352" s="28">
        <f t="shared" si="430"/>
        <v>45456</v>
      </c>
      <c r="AK352" s="24">
        <f t="shared" si="431"/>
        <v>0</v>
      </c>
      <c r="AL352" s="25">
        <f t="shared" si="432"/>
        <v>0</v>
      </c>
      <c r="AM352" s="29">
        <f t="shared" si="433"/>
        <v>0</v>
      </c>
      <c r="AN352" s="28">
        <f t="shared" si="434"/>
        <v>45456</v>
      </c>
      <c r="AO352" s="373">
        <f t="shared" si="403"/>
        <v>0</v>
      </c>
      <c r="AP352" s="374">
        <f t="shared" si="404"/>
        <v>0</v>
      </c>
      <c r="AQ352" s="27">
        <f t="shared" si="405"/>
        <v>0</v>
      </c>
      <c r="AR352" s="25">
        <f t="shared" si="406"/>
        <v>0</v>
      </c>
      <c r="AS352" s="25">
        <f t="shared" si="407"/>
        <v>0</v>
      </c>
      <c r="AT352" s="25">
        <f t="shared" si="408"/>
        <v>0</v>
      </c>
      <c r="AU352" s="29">
        <f t="shared" si="465"/>
        <v>0</v>
      </c>
      <c r="AV352" s="27">
        <f t="shared" si="435"/>
        <v>0</v>
      </c>
      <c r="AW352" s="27">
        <f t="shared" si="436"/>
        <v>0</v>
      </c>
      <c r="AX352" s="27">
        <f t="shared" si="437"/>
        <v>0</v>
      </c>
      <c r="AY352" s="27">
        <f t="shared" si="438"/>
        <v>0</v>
      </c>
      <c r="BH352" s="2">
        <f t="shared" si="439"/>
        <v>0</v>
      </c>
      <c r="BI352" s="298" t="str">
        <f t="shared" si="440"/>
        <v/>
      </c>
      <c r="BJ352" s="298" t="str">
        <f t="shared" si="409"/>
        <v/>
      </c>
      <c r="BQ352" s="4">
        <f t="shared" si="441"/>
        <v>45456</v>
      </c>
      <c r="BR352" s="112">
        <f t="shared" si="442"/>
        <v>0</v>
      </c>
      <c r="BS352" s="112">
        <f t="shared" si="443"/>
        <v>0</v>
      </c>
      <c r="BT352" s="112">
        <f t="shared" si="444"/>
        <v>0</v>
      </c>
      <c r="BU352" s="112">
        <f t="shared" si="445"/>
        <v>0</v>
      </c>
      <c r="BV352" s="112">
        <f t="shared" si="446"/>
        <v>0</v>
      </c>
      <c r="CI352" s="4">
        <f t="shared" si="447"/>
        <v>45456</v>
      </c>
      <c r="CJ352" s="50">
        <f ca="1">IF($BH352=0,IF($CO352="",CJ351+R352,IF('283'!$K$251=1,VLOOKUP($CO352,PerStBal,2)+R352,IF('283'!$K$253=1,(VLOOKUP($CO352,PerPortion,2)*VLOOKUP($CO352,PerStBal,6))+R352,GL!BS352))),0)</f>
        <v>0</v>
      </c>
      <c r="CK352" s="425">
        <f ca="1">IF($BH352=0,IF($CO352="",CK351+T352,IF('283'!$K$251=1,IF(mname2&lt;&gt;"",VLOOKUP($CO352,PerStBal,3)+T352,0),IF('283'!$K$253=1,(VLOOKUP($CO352,PerPortion,3)*VLOOKUP($CO352,PerStBal,6))+T352,GL!BT352))),0)</f>
        <v>0</v>
      </c>
      <c r="CL352" s="425">
        <f ca="1">IF($BH352=0,IF($CO352="",CL351+V352,IF('283'!$K$251=1,IF(mname3&lt;&gt;"",VLOOKUP($CO352,PerStBal,4)+V352,0),IF('283'!$K$253=1,(VLOOKUP($CO352,PerPortion,4)*VLOOKUP($CO352,PerStBal,6))+V352,GL!BU352))),0)</f>
        <v>0</v>
      </c>
      <c r="CM352" s="425">
        <f ca="1">IF($BH352=0,IF($CO352="",CM351+X352,IF('283'!$K$251=1,IF(mname4&lt;&gt;"",VLOOKUP($CO352,PerStBal,5)+X352,0),IF('283'!$K$253=1,(VLOOKUP($CO352,PerPortion,5)*VLOOKUP($CO352,PerStBal,6))+X352,GL!BV352))),0)</f>
        <v>0</v>
      </c>
      <c r="CN352" s="50">
        <f t="shared" ca="1" si="448"/>
        <v>0</v>
      </c>
      <c r="CO352" s="4" t="str">
        <f t="shared" ca="1" si="449"/>
        <v/>
      </c>
      <c r="CP352" s="377">
        <f t="shared" si="410"/>
        <v>0</v>
      </c>
      <c r="DI352" s="4">
        <f t="shared" si="450"/>
        <v>45456</v>
      </c>
      <c r="DJ352" s="112">
        <f t="shared" ca="1" si="451"/>
        <v>0</v>
      </c>
      <c r="DK352" s="112">
        <f t="shared" si="452"/>
        <v>0</v>
      </c>
      <c r="DL352" s="4">
        <f t="shared" si="453"/>
        <v>45456</v>
      </c>
      <c r="DM352" s="112">
        <f t="shared" ca="1" si="454"/>
        <v>0</v>
      </c>
      <c r="DN352" s="112">
        <f t="shared" si="455"/>
        <v>0</v>
      </c>
      <c r="DO352" s="4">
        <f t="shared" si="456"/>
        <v>45456</v>
      </c>
      <c r="DP352" s="112">
        <f t="shared" ca="1" si="457"/>
        <v>0</v>
      </c>
      <c r="DQ352" s="112">
        <f t="shared" si="458"/>
        <v>0</v>
      </c>
      <c r="DR352" s="4">
        <f t="shared" si="459"/>
        <v>45456</v>
      </c>
      <c r="DS352" s="112">
        <f t="shared" ca="1" si="460"/>
        <v>0</v>
      </c>
      <c r="DT352" s="112">
        <f t="shared" si="461"/>
        <v>0</v>
      </c>
      <c r="DU352" s="4">
        <f t="shared" si="462"/>
        <v>45456</v>
      </c>
      <c r="DV352" s="112">
        <f t="shared" si="463"/>
        <v>0</v>
      </c>
      <c r="DW352" s="112">
        <f t="shared" si="464"/>
        <v>0</v>
      </c>
    </row>
    <row r="353" spans="17:127" x14ac:dyDescent="0.25">
      <c r="Q353" s="4">
        <f t="shared" si="411"/>
        <v>45457</v>
      </c>
      <c r="R353" s="24">
        <f t="shared" si="412"/>
        <v>0</v>
      </c>
      <c r="S353" s="25">
        <f t="shared" si="413"/>
        <v>0</v>
      </c>
      <c r="T353" s="24">
        <f t="shared" si="414"/>
        <v>0</v>
      </c>
      <c r="U353" s="25">
        <f t="shared" si="415"/>
        <v>0</v>
      </c>
      <c r="V353" s="24">
        <f t="shared" si="416"/>
        <v>0</v>
      </c>
      <c r="W353" s="25">
        <f t="shared" si="417"/>
        <v>0</v>
      </c>
      <c r="X353" s="24">
        <f t="shared" si="418"/>
        <v>0</v>
      </c>
      <c r="Y353" s="26">
        <f t="shared" si="419"/>
        <v>0</v>
      </c>
      <c r="Z353" s="27">
        <f t="shared" si="420"/>
        <v>0</v>
      </c>
      <c r="AA353" s="28">
        <f t="shared" si="421"/>
        <v>45457</v>
      </c>
      <c r="AB353" s="24">
        <f t="shared" si="422"/>
        <v>0</v>
      </c>
      <c r="AC353" s="25">
        <f t="shared" si="423"/>
        <v>0</v>
      </c>
      <c r="AD353" s="28">
        <f t="shared" si="424"/>
        <v>45457</v>
      </c>
      <c r="AE353" s="24">
        <f t="shared" si="425"/>
        <v>0</v>
      </c>
      <c r="AF353" s="25">
        <f t="shared" si="426"/>
        <v>0</v>
      </c>
      <c r="AG353" s="28">
        <f t="shared" si="427"/>
        <v>45457</v>
      </c>
      <c r="AH353" s="24">
        <f t="shared" si="428"/>
        <v>0</v>
      </c>
      <c r="AI353" s="25">
        <f t="shared" si="429"/>
        <v>0</v>
      </c>
      <c r="AJ353" s="28">
        <f t="shared" si="430"/>
        <v>45457</v>
      </c>
      <c r="AK353" s="24">
        <f t="shared" si="431"/>
        <v>0</v>
      </c>
      <c r="AL353" s="25">
        <f t="shared" si="432"/>
        <v>0</v>
      </c>
      <c r="AM353" s="29">
        <f t="shared" si="433"/>
        <v>0</v>
      </c>
      <c r="AN353" s="28">
        <f t="shared" si="434"/>
        <v>45457</v>
      </c>
      <c r="AO353" s="373">
        <f t="shared" si="403"/>
        <v>0</v>
      </c>
      <c r="AP353" s="374">
        <f t="shared" si="404"/>
        <v>0</v>
      </c>
      <c r="AQ353" s="27">
        <f t="shared" si="405"/>
        <v>0</v>
      </c>
      <c r="AR353" s="25">
        <f t="shared" si="406"/>
        <v>0</v>
      </c>
      <c r="AS353" s="25">
        <f t="shared" si="407"/>
        <v>0</v>
      </c>
      <c r="AT353" s="25">
        <f t="shared" si="408"/>
        <v>0</v>
      </c>
      <c r="AU353" s="29">
        <f t="shared" si="465"/>
        <v>0</v>
      </c>
      <c r="AV353" s="27">
        <f t="shared" si="435"/>
        <v>0</v>
      </c>
      <c r="AW353" s="27">
        <f t="shared" si="436"/>
        <v>0</v>
      </c>
      <c r="AX353" s="27">
        <f t="shared" si="437"/>
        <v>0</v>
      </c>
      <c r="AY353" s="27">
        <f t="shared" si="438"/>
        <v>0</v>
      </c>
      <c r="BH353" s="2">
        <f t="shared" si="439"/>
        <v>0</v>
      </c>
      <c r="BI353" s="298" t="str">
        <f t="shared" si="440"/>
        <v/>
      </c>
      <c r="BJ353" s="298" t="str">
        <f t="shared" si="409"/>
        <v/>
      </c>
      <c r="BQ353" s="4">
        <f t="shared" si="441"/>
        <v>45457</v>
      </c>
      <c r="BR353" s="112">
        <f t="shared" si="442"/>
        <v>0</v>
      </c>
      <c r="BS353" s="112">
        <f t="shared" si="443"/>
        <v>0</v>
      </c>
      <c r="BT353" s="112">
        <f t="shared" si="444"/>
        <v>0</v>
      </c>
      <c r="BU353" s="112">
        <f t="shared" si="445"/>
        <v>0</v>
      </c>
      <c r="BV353" s="112">
        <f t="shared" si="446"/>
        <v>0</v>
      </c>
      <c r="CI353" s="4">
        <f t="shared" si="447"/>
        <v>45457</v>
      </c>
      <c r="CJ353" s="50">
        <f ca="1">IF($BH353=0,IF($CO353="",CJ352+R353,IF('283'!$K$251=1,VLOOKUP($CO353,PerStBal,2)+R353,IF('283'!$K$253=1,(VLOOKUP($CO353,PerPortion,2)*VLOOKUP($CO353,PerStBal,6))+R353,GL!BS353))),0)</f>
        <v>0</v>
      </c>
      <c r="CK353" s="425">
        <f ca="1">IF($BH353=0,IF($CO353="",CK352+T353,IF('283'!$K$251=1,IF(mname2&lt;&gt;"",VLOOKUP($CO353,PerStBal,3)+T353,0),IF('283'!$K$253=1,(VLOOKUP($CO353,PerPortion,3)*VLOOKUP($CO353,PerStBal,6))+T353,GL!BT353))),0)</f>
        <v>0</v>
      </c>
      <c r="CL353" s="425">
        <f ca="1">IF($BH353=0,IF($CO353="",CL352+V353,IF('283'!$K$251=1,IF(mname3&lt;&gt;"",VLOOKUP($CO353,PerStBal,4)+V353,0),IF('283'!$K$253=1,(VLOOKUP($CO353,PerPortion,4)*VLOOKUP($CO353,PerStBal,6))+V353,GL!BU353))),0)</f>
        <v>0</v>
      </c>
      <c r="CM353" s="425">
        <f ca="1">IF($BH353=0,IF($CO353="",CM352+X353,IF('283'!$K$251=1,IF(mname4&lt;&gt;"",VLOOKUP($CO353,PerStBal,5)+X353,0),IF('283'!$K$253=1,(VLOOKUP($CO353,PerPortion,5)*VLOOKUP($CO353,PerStBal,6))+X353,GL!BV353))),0)</f>
        <v>0</v>
      </c>
      <c r="CN353" s="50">
        <f t="shared" ca="1" si="448"/>
        <v>0</v>
      </c>
      <c r="CO353" s="4" t="str">
        <f t="shared" ca="1" si="449"/>
        <v/>
      </c>
      <c r="CP353" s="377">
        <f t="shared" si="410"/>
        <v>0</v>
      </c>
      <c r="DI353" s="4">
        <f t="shared" si="450"/>
        <v>45457</v>
      </c>
      <c r="DJ353" s="112">
        <f t="shared" ca="1" si="451"/>
        <v>0</v>
      </c>
      <c r="DK353" s="112">
        <f t="shared" si="452"/>
        <v>0</v>
      </c>
      <c r="DL353" s="4">
        <f t="shared" si="453"/>
        <v>45457</v>
      </c>
      <c r="DM353" s="112">
        <f t="shared" ca="1" si="454"/>
        <v>0</v>
      </c>
      <c r="DN353" s="112">
        <f t="shared" si="455"/>
        <v>0</v>
      </c>
      <c r="DO353" s="4">
        <f t="shared" si="456"/>
        <v>45457</v>
      </c>
      <c r="DP353" s="112">
        <f t="shared" ca="1" si="457"/>
        <v>0</v>
      </c>
      <c r="DQ353" s="112">
        <f t="shared" si="458"/>
        <v>0</v>
      </c>
      <c r="DR353" s="4">
        <f t="shared" si="459"/>
        <v>45457</v>
      </c>
      <c r="DS353" s="112">
        <f t="shared" ca="1" si="460"/>
        <v>0</v>
      </c>
      <c r="DT353" s="112">
        <f t="shared" si="461"/>
        <v>0</v>
      </c>
      <c r="DU353" s="4">
        <f t="shared" si="462"/>
        <v>45457</v>
      </c>
      <c r="DV353" s="112">
        <f t="shared" si="463"/>
        <v>0</v>
      </c>
      <c r="DW353" s="112">
        <f t="shared" si="464"/>
        <v>0</v>
      </c>
    </row>
    <row r="354" spans="17:127" x14ac:dyDescent="0.25">
      <c r="Q354" s="4">
        <f t="shared" si="411"/>
        <v>45458</v>
      </c>
      <c r="R354" s="24">
        <f t="shared" si="412"/>
        <v>0</v>
      </c>
      <c r="S354" s="25">
        <f t="shared" si="413"/>
        <v>0</v>
      </c>
      <c r="T354" s="24">
        <f t="shared" si="414"/>
        <v>0</v>
      </c>
      <c r="U354" s="25">
        <f t="shared" si="415"/>
        <v>0</v>
      </c>
      <c r="V354" s="24">
        <f t="shared" si="416"/>
        <v>0</v>
      </c>
      <c r="W354" s="25">
        <f t="shared" si="417"/>
        <v>0</v>
      </c>
      <c r="X354" s="24">
        <f t="shared" si="418"/>
        <v>0</v>
      </c>
      <c r="Y354" s="26">
        <f t="shared" si="419"/>
        <v>0</v>
      </c>
      <c r="Z354" s="27">
        <f t="shared" si="420"/>
        <v>0</v>
      </c>
      <c r="AA354" s="28">
        <f t="shared" si="421"/>
        <v>45458</v>
      </c>
      <c r="AB354" s="24">
        <f t="shared" si="422"/>
        <v>0</v>
      </c>
      <c r="AC354" s="25">
        <f t="shared" si="423"/>
        <v>0</v>
      </c>
      <c r="AD354" s="28">
        <f t="shared" si="424"/>
        <v>45458</v>
      </c>
      <c r="AE354" s="24">
        <f t="shared" si="425"/>
        <v>0</v>
      </c>
      <c r="AF354" s="25">
        <f t="shared" si="426"/>
        <v>0</v>
      </c>
      <c r="AG354" s="28">
        <f t="shared" si="427"/>
        <v>45458</v>
      </c>
      <c r="AH354" s="24">
        <f t="shared" si="428"/>
        <v>0</v>
      </c>
      <c r="AI354" s="25">
        <f t="shared" si="429"/>
        <v>0</v>
      </c>
      <c r="AJ354" s="28">
        <f t="shared" si="430"/>
        <v>45458</v>
      </c>
      <c r="AK354" s="24">
        <f t="shared" si="431"/>
        <v>0</v>
      </c>
      <c r="AL354" s="25">
        <f t="shared" si="432"/>
        <v>0</v>
      </c>
      <c r="AM354" s="29">
        <f t="shared" si="433"/>
        <v>0</v>
      </c>
      <c r="AN354" s="28">
        <f t="shared" si="434"/>
        <v>45458</v>
      </c>
      <c r="AO354" s="373">
        <f t="shared" si="403"/>
        <v>0</v>
      </c>
      <c r="AP354" s="374">
        <f t="shared" si="404"/>
        <v>0</v>
      </c>
      <c r="AQ354" s="27">
        <f t="shared" si="405"/>
        <v>0</v>
      </c>
      <c r="AR354" s="25">
        <f t="shared" si="406"/>
        <v>0</v>
      </c>
      <c r="AS354" s="25">
        <f t="shared" si="407"/>
        <v>0</v>
      </c>
      <c r="AT354" s="25">
        <f t="shared" si="408"/>
        <v>0</v>
      </c>
      <c r="AU354" s="29">
        <f t="shared" si="465"/>
        <v>0</v>
      </c>
      <c r="AV354" s="27">
        <f t="shared" si="435"/>
        <v>0</v>
      </c>
      <c r="AW354" s="27">
        <f t="shared" si="436"/>
        <v>0</v>
      </c>
      <c r="AX354" s="27">
        <f t="shared" si="437"/>
        <v>0</v>
      </c>
      <c r="AY354" s="27">
        <f t="shared" si="438"/>
        <v>0</v>
      </c>
      <c r="BH354" s="2">
        <f t="shared" si="439"/>
        <v>0</v>
      </c>
      <c r="BI354" s="298" t="str">
        <f t="shared" si="440"/>
        <v/>
      </c>
      <c r="BJ354" s="298" t="str">
        <f t="shared" si="409"/>
        <v/>
      </c>
      <c r="BQ354" s="4">
        <f t="shared" si="441"/>
        <v>45458</v>
      </c>
      <c r="BR354" s="112">
        <f t="shared" si="442"/>
        <v>0</v>
      </c>
      <c r="BS354" s="112">
        <f t="shared" si="443"/>
        <v>0</v>
      </c>
      <c r="BT354" s="112">
        <f t="shared" si="444"/>
        <v>0</v>
      </c>
      <c r="BU354" s="112">
        <f t="shared" si="445"/>
        <v>0</v>
      </c>
      <c r="BV354" s="112">
        <f t="shared" si="446"/>
        <v>0</v>
      </c>
      <c r="CI354" s="4">
        <f t="shared" si="447"/>
        <v>45458</v>
      </c>
      <c r="CJ354" s="50">
        <f ca="1">IF($BH354=0,IF($CO354="",CJ353+R354,IF('283'!$K$251=1,VLOOKUP($CO354,PerStBal,2)+R354,IF('283'!$K$253=1,(VLOOKUP($CO354,PerPortion,2)*VLOOKUP($CO354,PerStBal,6))+R354,GL!BS354))),0)</f>
        <v>0</v>
      </c>
      <c r="CK354" s="425">
        <f ca="1">IF($BH354=0,IF($CO354="",CK353+T354,IF('283'!$K$251=1,IF(mname2&lt;&gt;"",VLOOKUP($CO354,PerStBal,3)+T354,0),IF('283'!$K$253=1,(VLOOKUP($CO354,PerPortion,3)*VLOOKUP($CO354,PerStBal,6))+T354,GL!BT354))),0)</f>
        <v>0</v>
      </c>
      <c r="CL354" s="425">
        <f ca="1">IF($BH354=0,IF($CO354="",CL353+V354,IF('283'!$K$251=1,IF(mname3&lt;&gt;"",VLOOKUP($CO354,PerStBal,4)+V354,0),IF('283'!$K$253=1,(VLOOKUP($CO354,PerPortion,4)*VLOOKUP($CO354,PerStBal,6))+V354,GL!BU354))),0)</f>
        <v>0</v>
      </c>
      <c r="CM354" s="425">
        <f ca="1">IF($BH354=0,IF($CO354="",CM353+X354,IF('283'!$K$251=1,IF(mname4&lt;&gt;"",VLOOKUP($CO354,PerStBal,5)+X354,0),IF('283'!$K$253=1,(VLOOKUP($CO354,PerPortion,5)*VLOOKUP($CO354,PerStBal,6))+X354,GL!BV354))),0)</f>
        <v>0</v>
      </c>
      <c r="CN354" s="50">
        <f t="shared" ca="1" si="448"/>
        <v>0</v>
      </c>
      <c r="CO354" s="4" t="str">
        <f t="shared" ca="1" si="449"/>
        <v/>
      </c>
      <c r="CP354" s="377">
        <f t="shared" si="410"/>
        <v>0</v>
      </c>
      <c r="DI354" s="4">
        <f t="shared" si="450"/>
        <v>45458</v>
      </c>
      <c r="DJ354" s="112">
        <f t="shared" ca="1" si="451"/>
        <v>0</v>
      </c>
      <c r="DK354" s="112">
        <f t="shared" si="452"/>
        <v>0</v>
      </c>
      <c r="DL354" s="4">
        <f t="shared" si="453"/>
        <v>45458</v>
      </c>
      <c r="DM354" s="112">
        <f t="shared" ca="1" si="454"/>
        <v>0</v>
      </c>
      <c r="DN354" s="112">
        <f t="shared" si="455"/>
        <v>0</v>
      </c>
      <c r="DO354" s="4">
        <f t="shared" si="456"/>
        <v>45458</v>
      </c>
      <c r="DP354" s="112">
        <f t="shared" ca="1" si="457"/>
        <v>0</v>
      </c>
      <c r="DQ354" s="112">
        <f t="shared" si="458"/>
        <v>0</v>
      </c>
      <c r="DR354" s="4">
        <f t="shared" si="459"/>
        <v>45458</v>
      </c>
      <c r="DS354" s="112">
        <f t="shared" ca="1" si="460"/>
        <v>0</v>
      </c>
      <c r="DT354" s="112">
        <f t="shared" si="461"/>
        <v>0</v>
      </c>
      <c r="DU354" s="4">
        <f t="shared" si="462"/>
        <v>45458</v>
      </c>
      <c r="DV354" s="112">
        <f t="shared" si="463"/>
        <v>0</v>
      </c>
      <c r="DW354" s="112">
        <f t="shared" si="464"/>
        <v>0</v>
      </c>
    </row>
    <row r="355" spans="17:127" x14ac:dyDescent="0.25">
      <c r="Q355" s="4">
        <f t="shared" si="411"/>
        <v>45459</v>
      </c>
      <c r="R355" s="24">
        <f t="shared" si="412"/>
        <v>0</v>
      </c>
      <c r="S355" s="25">
        <f t="shared" si="413"/>
        <v>0</v>
      </c>
      <c r="T355" s="24">
        <f t="shared" si="414"/>
        <v>0</v>
      </c>
      <c r="U355" s="25">
        <f t="shared" si="415"/>
        <v>0</v>
      </c>
      <c r="V355" s="24">
        <f t="shared" si="416"/>
        <v>0</v>
      </c>
      <c r="W355" s="25">
        <f t="shared" si="417"/>
        <v>0</v>
      </c>
      <c r="X355" s="24">
        <f t="shared" si="418"/>
        <v>0</v>
      </c>
      <c r="Y355" s="26">
        <f t="shared" si="419"/>
        <v>0</v>
      </c>
      <c r="Z355" s="27">
        <f t="shared" si="420"/>
        <v>0</v>
      </c>
      <c r="AA355" s="28">
        <f t="shared" si="421"/>
        <v>45459</v>
      </c>
      <c r="AB355" s="24">
        <f t="shared" si="422"/>
        <v>0</v>
      </c>
      <c r="AC355" s="25">
        <f t="shared" si="423"/>
        <v>0</v>
      </c>
      <c r="AD355" s="28">
        <f t="shared" si="424"/>
        <v>45459</v>
      </c>
      <c r="AE355" s="24">
        <f t="shared" si="425"/>
        <v>0</v>
      </c>
      <c r="AF355" s="25">
        <f t="shared" si="426"/>
        <v>0</v>
      </c>
      <c r="AG355" s="28">
        <f t="shared" si="427"/>
        <v>45459</v>
      </c>
      <c r="AH355" s="24">
        <f t="shared" si="428"/>
        <v>0</v>
      </c>
      <c r="AI355" s="25">
        <f t="shared" si="429"/>
        <v>0</v>
      </c>
      <c r="AJ355" s="28">
        <f t="shared" si="430"/>
        <v>45459</v>
      </c>
      <c r="AK355" s="24">
        <f t="shared" si="431"/>
        <v>0</v>
      </c>
      <c r="AL355" s="25">
        <f t="shared" si="432"/>
        <v>0</v>
      </c>
      <c r="AM355" s="29">
        <f t="shared" si="433"/>
        <v>0</v>
      </c>
      <c r="AN355" s="28">
        <f t="shared" si="434"/>
        <v>45459</v>
      </c>
      <c r="AO355" s="373">
        <f t="shared" si="403"/>
        <v>0</v>
      </c>
      <c r="AP355" s="374">
        <f t="shared" si="404"/>
        <v>0</v>
      </c>
      <c r="AQ355" s="27">
        <f t="shared" si="405"/>
        <v>0</v>
      </c>
      <c r="AR355" s="25">
        <f t="shared" si="406"/>
        <v>0</v>
      </c>
      <c r="AS355" s="25">
        <f t="shared" si="407"/>
        <v>0</v>
      </c>
      <c r="AT355" s="25">
        <f t="shared" si="408"/>
        <v>0</v>
      </c>
      <c r="AU355" s="29">
        <f t="shared" si="465"/>
        <v>0</v>
      </c>
      <c r="AV355" s="27">
        <f t="shared" si="435"/>
        <v>0</v>
      </c>
      <c r="AW355" s="27">
        <f t="shared" si="436"/>
        <v>0</v>
      </c>
      <c r="AX355" s="27">
        <f t="shared" si="437"/>
        <v>0</v>
      </c>
      <c r="AY355" s="27">
        <f t="shared" si="438"/>
        <v>0</v>
      </c>
      <c r="BH355" s="2">
        <f t="shared" si="439"/>
        <v>0</v>
      </c>
      <c r="BI355" s="298" t="str">
        <f t="shared" si="440"/>
        <v/>
      </c>
      <c r="BJ355" s="298" t="str">
        <f t="shared" si="409"/>
        <v/>
      </c>
      <c r="BQ355" s="4">
        <f t="shared" si="441"/>
        <v>45459</v>
      </c>
      <c r="BR355" s="112">
        <f t="shared" si="442"/>
        <v>0</v>
      </c>
      <c r="BS355" s="112">
        <f t="shared" si="443"/>
        <v>0</v>
      </c>
      <c r="BT355" s="112">
        <f t="shared" si="444"/>
        <v>0</v>
      </c>
      <c r="BU355" s="112">
        <f t="shared" si="445"/>
        <v>0</v>
      </c>
      <c r="BV355" s="112">
        <f t="shared" si="446"/>
        <v>0</v>
      </c>
      <c r="CI355" s="4">
        <f t="shared" si="447"/>
        <v>45459</v>
      </c>
      <c r="CJ355" s="50">
        <f ca="1">IF($BH355=0,IF($CO355="",CJ354+R355,IF('283'!$K$251=1,VLOOKUP($CO355,PerStBal,2)+R355,IF('283'!$K$253=1,(VLOOKUP($CO355,PerPortion,2)*VLOOKUP($CO355,PerStBal,6))+R355,GL!BS355))),0)</f>
        <v>0</v>
      </c>
      <c r="CK355" s="425">
        <f ca="1">IF($BH355=0,IF($CO355="",CK354+T355,IF('283'!$K$251=1,IF(mname2&lt;&gt;"",VLOOKUP($CO355,PerStBal,3)+T355,0),IF('283'!$K$253=1,(VLOOKUP($CO355,PerPortion,3)*VLOOKUP($CO355,PerStBal,6))+T355,GL!BT355))),0)</f>
        <v>0</v>
      </c>
      <c r="CL355" s="425">
        <f ca="1">IF($BH355=0,IF($CO355="",CL354+V355,IF('283'!$K$251=1,IF(mname3&lt;&gt;"",VLOOKUP($CO355,PerStBal,4)+V355,0),IF('283'!$K$253=1,(VLOOKUP($CO355,PerPortion,4)*VLOOKUP($CO355,PerStBal,6))+V355,GL!BU355))),0)</f>
        <v>0</v>
      </c>
      <c r="CM355" s="425">
        <f ca="1">IF($BH355=0,IF($CO355="",CM354+X355,IF('283'!$K$251=1,IF(mname4&lt;&gt;"",VLOOKUP($CO355,PerStBal,5)+X355,0),IF('283'!$K$253=1,(VLOOKUP($CO355,PerPortion,5)*VLOOKUP($CO355,PerStBal,6))+X355,GL!BV355))),0)</f>
        <v>0</v>
      </c>
      <c r="CN355" s="50">
        <f t="shared" ca="1" si="448"/>
        <v>0</v>
      </c>
      <c r="CO355" s="4" t="str">
        <f t="shared" ca="1" si="449"/>
        <v/>
      </c>
      <c r="CP355" s="377">
        <f t="shared" si="410"/>
        <v>0</v>
      </c>
      <c r="DI355" s="4">
        <f t="shared" si="450"/>
        <v>45459</v>
      </c>
      <c r="DJ355" s="112">
        <f t="shared" ca="1" si="451"/>
        <v>0</v>
      </c>
      <c r="DK355" s="112">
        <f t="shared" si="452"/>
        <v>0</v>
      </c>
      <c r="DL355" s="4">
        <f t="shared" si="453"/>
        <v>45459</v>
      </c>
      <c r="DM355" s="112">
        <f t="shared" ca="1" si="454"/>
        <v>0</v>
      </c>
      <c r="DN355" s="112">
        <f t="shared" si="455"/>
        <v>0</v>
      </c>
      <c r="DO355" s="4">
        <f t="shared" si="456"/>
        <v>45459</v>
      </c>
      <c r="DP355" s="112">
        <f t="shared" ca="1" si="457"/>
        <v>0</v>
      </c>
      <c r="DQ355" s="112">
        <f t="shared" si="458"/>
        <v>0</v>
      </c>
      <c r="DR355" s="4">
        <f t="shared" si="459"/>
        <v>45459</v>
      </c>
      <c r="DS355" s="112">
        <f t="shared" ca="1" si="460"/>
        <v>0</v>
      </c>
      <c r="DT355" s="112">
        <f t="shared" si="461"/>
        <v>0</v>
      </c>
      <c r="DU355" s="4">
        <f t="shared" si="462"/>
        <v>45459</v>
      </c>
      <c r="DV355" s="112">
        <f t="shared" si="463"/>
        <v>0</v>
      </c>
      <c r="DW355" s="112">
        <f t="shared" si="464"/>
        <v>0</v>
      </c>
    </row>
    <row r="356" spans="17:127" x14ac:dyDescent="0.25">
      <c r="Q356" s="4">
        <f t="shared" si="411"/>
        <v>45460</v>
      </c>
      <c r="R356" s="24">
        <f t="shared" si="412"/>
        <v>0</v>
      </c>
      <c r="S356" s="25">
        <f t="shared" si="413"/>
        <v>0</v>
      </c>
      <c r="T356" s="24">
        <f t="shared" si="414"/>
        <v>0</v>
      </c>
      <c r="U356" s="25">
        <f t="shared" si="415"/>
        <v>0</v>
      </c>
      <c r="V356" s="24">
        <f t="shared" si="416"/>
        <v>0</v>
      </c>
      <c r="W356" s="25">
        <f t="shared" si="417"/>
        <v>0</v>
      </c>
      <c r="X356" s="24">
        <f t="shared" si="418"/>
        <v>0</v>
      </c>
      <c r="Y356" s="26">
        <f t="shared" si="419"/>
        <v>0</v>
      </c>
      <c r="Z356" s="27">
        <f t="shared" si="420"/>
        <v>0</v>
      </c>
      <c r="AA356" s="28">
        <f t="shared" si="421"/>
        <v>45460</v>
      </c>
      <c r="AB356" s="24">
        <f t="shared" si="422"/>
        <v>0</v>
      </c>
      <c r="AC356" s="25">
        <f t="shared" si="423"/>
        <v>0</v>
      </c>
      <c r="AD356" s="28">
        <f t="shared" si="424"/>
        <v>45460</v>
      </c>
      <c r="AE356" s="24">
        <f t="shared" si="425"/>
        <v>0</v>
      </c>
      <c r="AF356" s="25">
        <f t="shared" si="426"/>
        <v>0</v>
      </c>
      <c r="AG356" s="28">
        <f t="shared" si="427"/>
        <v>45460</v>
      </c>
      <c r="AH356" s="24">
        <f t="shared" si="428"/>
        <v>0</v>
      </c>
      <c r="AI356" s="25">
        <f t="shared" si="429"/>
        <v>0</v>
      </c>
      <c r="AJ356" s="28">
        <f t="shared" si="430"/>
        <v>45460</v>
      </c>
      <c r="AK356" s="24">
        <f t="shared" si="431"/>
        <v>0</v>
      </c>
      <c r="AL356" s="25">
        <f t="shared" si="432"/>
        <v>0</v>
      </c>
      <c r="AM356" s="29">
        <f t="shared" si="433"/>
        <v>0</v>
      </c>
      <c r="AN356" s="28">
        <f t="shared" si="434"/>
        <v>45460</v>
      </c>
      <c r="AO356" s="373">
        <f t="shared" si="403"/>
        <v>0</v>
      </c>
      <c r="AP356" s="374">
        <f t="shared" si="404"/>
        <v>0</v>
      </c>
      <c r="AQ356" s="27">
        <f t="shared" si="405"/>
        <v>0</v>
      </c>
      <c r="AR356" s="25">
        <f t="shared" si="406"/>
        <v>0</v>
      </c>
      <c r="AS356" s="25">
        <f t="shared" si="407"/>
        <v>0</v>
      </c>
      <c r="AT356" s="25">
        <f t="shared" si="408"/>
        <v>0</v>
      </c>
      <c r="AU356" s="29">
        <f t="shared" si="465"/>
        <v>0</v>
      </c>
      <c r="AV356" s="27">
        <f t="shared" si="435"/>
        <v>0</v>
      </c>
      <c r="AW356" s="27">
        <f t="shared" si="436"/>
        <v>0</v>
      </c>
      <c r="AX356" s="27">
        <f t="shared" si="437"/>
        <v>0</v>
      </c>
      <c r="AY356" s="27">
        <f t="shared" si="438"/>
        <v>0</v>
      </c>
      <c r="BH356" s="2">
        <f t="shared" si="439"/>
        <v>0</v>
      </c>
      <c r="BI356" s="298" t="str">
        <f t="shared" si="440"/>
        <v/>
      </c>
      <c r="BJ356" s="298" t="str">
        <f t="shared" si="409"/>
        <v/>
      </c>
      <c r="BQ356" s="4">
        <f t="shared" si="441"/>
        <v>45460</v>
      </c>
      <c r="BR356" s="112">
        <f t="shared" si="442"/>
        <v>0</v>
      </c>
      <c r="BS356" s="112">
        <f t="shared" si="443"/>
        <v>0</v>
      </c>
      <c r="BT356" s="112">
        <f t="shared" si="444"/>
        <v>0</v>
      </c>
      <c r="BU356" s="112">
        <f t="shared" si="445"/>
        <v>0</v>
      </c>
      <c r="BV356" s="112">
        <f t="shared" si="446"/>
        <v>0</v>
      </c>
      <c r="CI356" s="4">
        <f t="shared" si="447"/>
        <v>45460</v>
      </c>
      <c r="CJ356" s="50">
        <f ca="1">IF($BH356=0,IF($CO356="",CJ355+R356,IF('283'!$K$251=1,VLOOKUP($CO356,PerStBal,2)+R356,IF('283'!$K$253=1,(VLOOKUP($CO356,PerPortion,2)*VLOOKUP($CO356,PerStBal,6))+R356,GL!BS356))),0)</f>
        <v>0</v>
      </c>
      <c r="CK356" s="425">
        <f ca="1">IF($BH356=0,IF($CO356="",CK355+T356,IF('283'!$K$251=1,IF(mname2&lt;&gt;"",VLOOKUP($CO356,PerStBal,3)+T356,0),IF('283'!$K$253=1,(VLOOKUP($CO356,PerPortion,3)*VLOOKUP($CO356,PerStBal,6))+T356,GL!BT356))),0)</f>
        <v>0</v>
      </c>
      <c r="CL356" s="425">
        <f ca="1">IF($BH356=0,IF($CO356="",CL355+V356,IF('283'!$K$251=1,IF(mname3&lt;&gt;"",VLOOKUP($CO356,PerStBal,4)+V356,0),IF('283'!$K$253=1,(VLOOKUP($CO356,PerPortion,4)*VLOOKUP($CO356,PerStBal,6))+V356,GL!BU356))),0)</f>
        <v>0</v>
      </c>
      <c r="CM356" s="425">
        <f ca="1">IF($BH356=0,IF($CO356="",CM355+X356,IF('283'!$K$251=1,IF(mname4&lt;&gt;"",VLOOKUP($CO356,PerStBal,5)+X356,0),IF('283'!$K$253=1,(VLOOKUP($CO356,PerPortion,5)*VLOOKUP($CO356,PerStBal,6))+X356,GL!BV356))),0)</f>
        <v>0</v>
      </c>
      <c r="CN356" s="50">
        <f t="shared" ca="1" si="448"/>
        <v>0</v>
      </c>
      <c r="CO356" s="4" t="str">
        <f t="shared" ca="1" si="449"/>
        <v/>
      </c>
      <c r="CP356" s="377">
        <f t="shared" si="410"/>
        <v>0</v>
      </c>
      <c r="DI356" s="4">
        <f t="shared" si="450"/>
        <v>45460</v>
      </c>
      <c r="DJ356" s="112">
        <f t="shared" ca="1" si="451"/>
        <v>0</v>
      </c>
      <c r="DK356" s="112">
        <f t="shared" si="452"/>
        <v>0</v>
      </c>
      <c r="DL356" s="4">
        <f t="shared" si="453"/>
        <v>45460</v>
      </c>
      <c r="DM356" s="112">
        <f t="shared" ca="1" si="454"/>
        <v>0</v>
      </c>
      <c r="DN356" s="112">
        <f t="shared" si="455"/>
        <v>0</v>
      </c>
      <c r="DO356" s="4">
        <f t="shared" si="456"/>
        <v>45460</v>
      </c>
      <c r="DP356" s="112">
        <f t="shared" ca="1" si="457"/>
        <v>0</v>
      </c>
      <c r="DQ356" s="112">
        <f t="shared" si="458"/>
        <v>0</v>
      </c>
      <c r="DR356" s="4">
        <f t="shared" si="459"/>
        <v>45460</v>
      </c>
      <c r="DS356" s="112">
        <f t="shared" ca="1" si="460"/>
        <v>0</v>
      </c>
      <c r="DT356" s="112">
        <f t="shared" si="461"/>
        <v>0</v>
      </c>
      <c r="DU356" s="4">
        <f t="shared" si="462"/>
        <v>45460</v>
      </c>
      <c r="DV356" s="112">
        <f t="shared" si="463"/>
        <v>0</v>
      </c>
      <c r="DW356" s="112">
        <f t="shared" si="464"/>
        <v>0</v>
      </c>
    </row>
    <row r="357" spans="17:127" x14ac:dyDescent="0.25">
      <c r="Q357" s="4">
        <f t="shared" si="411"/>
        <v>45461</v>
      </c>
      <c r="R357" s="24">
        <f t="shared" si="412"/>
        <v>0</v>
      </c>
      <c r="S357" s="25">
        <f t="shared" si="413"/>
        <v>0</v>
      </c>
      <c r="T357" s="24">
        <f t="shared" si="414"/>
        <v>0</v>
      </c>
      <c r="U357" s="25">
        <f t="shared" si="415"/>
        <v>0</v>
      </c>
      <c r="V357" s="24">
        <f t="shared" si="416"/>
        <v>0</v>
      </c>
      <c r="W357" s="25">
        <f t="shared" si="417"/>
        <v>0</v>
      </c>
      <c r="X357" s="24">
        <f t="shared" si="418"/>
        <v>0</v>
      </c>
      <c r="Y357" s="26">
        <f t="shared" si="419"/>
        <v>0</v>
      </c>
      <c r="Z357" s="27">
        <f t="shared" si="420"/>
        <v>0</v>
      </c>
      <c r="AA357" s="28">
        <f t="shared" si="421"/>
        <v>45461</v>
      </c>
      <c r="AB357" s="24">
        <f t="shared" si="422"/>
        <v>0</v>
      </c>
      <c r="AC357" s="25">
        <f t="shared" si="423"/>
        <v>0</v>
      </c>
      <c r="AD357" s="28">
        <f t="shared" si="424"/>
        <v>45461</v>
      </c>
      <c r="AE357" s="24">
        <f t="shared" si="425"/>
        <v>0</v>
      </c>
      <c r="AF357" s="25">
        <f t="shared" si="426"/>
        <v>0</v>
      </c>
      <c r="AG357" s="28">
        <f t="shared" si="427"/>
        <v>45461</v>
      </c>
      <c r="AH357" s="24">
        <f t="shared" si="428"/>
        <v>0</v>
      </c>
      <c r="AI357" s="25">
        <f t="shared" si="429"/>
        <v>0</v>
      </c>
      <c r="AJ357" s="28">
        <f t="shared" si="430"/>
        <v>45461</v>
      </c>
      <c r="AK357" s="24">
        <f t="shared" si="431"/>
        <v>0</v>
      </c>
      <c r="AL357" s="25">
        <f t="shared" si="432"/>
        <v>0</v>
      </c>
      <c r="AM357" s="29">
        <f t="shared" si="433"/>
        <v>0</v>
      </c>
      <c r="AN357" s="28">
        <f t="shared" si="434"/>
        <v>45461</v>
      </c>
      <c r="AO357" s="373">
        <f t="shared" si="403"/>
        <v>0</v>
      </c>
      <c r="AP357" s="374">
        <f t="shared" si="404"/>
        <v>0</v>
      </c>
      <c r="AQ357" s="27">
        <f t="shared" si="405"/>
        <v>0</v>
      </c>
      <c r="AR357" s="25">
        <f t="shared" si="406"/>
        <v>0</v>
      </c>
      <c r="AS357" s="25">
        <f t="shared" si="407"/>
        <v>0</v>
      </c>
      <c r="AT357" s="25">
        <f t="shared" si="408"/>
        <v>0</v>
      </c>
      <c r="AU357" s="29">
        <f t="shared" si="465"/>
        <v>0</v>
      </c>
      <c r="AV357" s="27">
        <f t="shared" si="435"/>
        <v>0</v>
      </c>
      <c r="AW357" s="27">
        <f t="shared" si="436"/>
        <v>0</v>
      </c>
      <c r="AX357" s="27">
        <f t="shared" si="437"/>
        <v>0</v>
      </c>
      <c r="AY357" s="27">
        <f t="shared" si="438"/>
        <v>0</v>
      </c>
      <c r="BH357" s="2">
        <f t="shared" si="439"/>
        <v>0</v>
      </c>
      <c r="BI357" s="298" t="str">
        <f t="shared" si="440"/>
        <v/>
      </c>
      <c r="BJ357" s="298" t="str">
        <f t="shared" si="409"/>
        <v/>
      </c>
      <c r="BQ357" s="4">
        <f t="shared" si="441"/>
        <v>45461</v>
      </c>
      <c r="BR357" s="112">
        <f t="shared" si="442"/>
        <v>0</v>
      </c>
      <c r="BS357" s="112">
        <f t="shared" si="443"/>
        <v>0</v>
      </c>
      <c r="BT357" s="112">
        <f t="shared" si="444"/>
        <v>0</v>
      </c>
      <c r="BU357" s="112">
        <f t="shared" si="445"/>
        <v>0</v>
      </c>
      <c r="BV357" s="112">
        <f t="shared" si="446"/>
        <v>0</v>
      </c>
      <c r="CI357" s="4">
        <f t="shared" si="447"/>
        <v>45461</v>
      </c>
      <c r="CJ357" s="50">
        <f ca="1">IF($BH357=0,IF($CO357="",CJ356+R357,IF('283'!$K$251=1,VLOOKUP($CO357,PerStBal,2)+R357,IF('283'!$K$253=1,(VLOOKUP($CO357,PerPortion,2)*VLOOKUP($CO357,PerStBal,6))+R357,GL!BS357))),0)</f>
        <v>0</v>
      </c>
      <c r="CK357" s="425">
        <f ca="1">IF($BH357=0,IF($CO357="",CK356+T357,IF('283'!$K$251=1,IF(mname2&lt;&gt;"",VLOOKUP($CO357,PerStBal,3)+T357,0),IF('283'!$K$253=1,(VLOOKUP($CO357,PerPortion,3)*VLOOKUP($CO357,PerStBal,6))+T357,GL!BT357))),0)</f>
        <v>0</v>
      </c>
      <c r="CL357" s="425">
        <f ca="1">IF($BH357=0,IF($CO357="",CL356+V357,IF('283'!$K$251=1,IF(mname3&lt;&gt;"",VLOOKUP($CO357,PerStBal,4)+V357,0),IF('283'!$K$253=1,(VLOOKUP($CO357,PerPortion,4)*VLOOKUP($CO357,PerStBal,6))+V357,GL!BU357))),0)</f>
        <v>0</v>
      </c>
      <c r="CM357" s="425">
        <f ca="1">IF($BH357=0,IF($CO357="",CM356+X357,IF('283'!$K$251=1,IF(mname4&lt;&gt;"",VLOOKUP($CO357,PerStBal,5)+X357,0),IF('283'!$K$253=1,(VLOOKUP($CO357,PerPortion,5)*VLOOKUP($CO357,PerStBal,6))+X357,GL!BV357))),0)</f>
        <v>0</v>
      </c>
      <c r="CN357" s="50">
        <f t="shared" ca="1" si="448"/>
        <v>0</v>
      </c>
      <c r="CO357" s="4" t="str">
        <f t="shared" ca="1" si="449"/>
        <v/>
      </c>
      <c r="CP357" s="377">
        <f t="shared" si="410"/>
        <v>0</v>
      </c>
      <c r="DI357" s="4">
        <f t="shared" si="450"/>
        <v>45461</v>
      </c>
      <c r="DJ357" s="112">
        <f t="shared" ca="1" si="451"/>
        <v>0</v>
      </c>
      <c r="DK357" s="112">
        <f t="shared" si="452"/>
        <v>0</v>
      </c>
      <c r="DL357" s="4">
        <f t="shared" si="453"/>
        <v>45461</v>
      </c>
      <c r="DM357" s="112">
        <f t="shared" ca="1" si="454"/>
        <v>0</v>
      </c>
      <c r="DN357" s="112">
        <f t="shared" si="455"/>
        <v>0</v>
      </c>
      <c r="DO357" s="4">
        <f t="shared" si="456"/>
        <v>45461</v>
      </c>
      <c r="DP357" s="112">
        <f t="shared" ca="1" si="457"/>
        <v>0</v>
      </c>
      <c r="DQ357" s="112">
        <f t="shared" si="458"/>
        <v>0</v>
      </c>
      <c r="DR357" s="4">
        <f t="shared" si="459"/>
        <v>45461</v>
      </c>
      <c r="DS357" s="112">
        <f t="shared" ca="1" si="460"/>
        <v>0</v>
      </c>
      <c r="DT357" s="112">
        <f t="shared" si="461"/>
        <v>0</v>
      </c>
      <c r="DU357" s="4">
        <f t="shared" si="462"/>
        <v>45461</v>
      </c>
      <c r="DV357" s="112">
        <f t="shared" si="463"/>
        <v>0</v>
      </c>
      <c r="DW357" s="112">
        <f t="shared" si="464"/>
        <v>0</v>
      </c>
    </row>
    <row r="358" spans="17:127" x14ac:dyDescent="0.25">
      <c r="Q358" s="4">
        <f t="shared" si="411"/>
        <v>45462</v>
      </c>
      <c r="R358" s="24">
        <f t="shared" si="412"/>
        <v>0</v>
      </c>
      <c r="S358" s="25">
        <f t="shared" si="413"/>
        <v>0</v>
      </c>
      <c r="T358" s="24">
        <f t="shared" si="414"/>
        <v>0</v>
      </c>
      <c r="U358" s="25">
        <f t="shared" si="415"/>
        <v>0</v>
      </c>
      <c r="V358" s="24">
        <f t="shared" si="416"/>
        <v>0</v>
      </c>
      <c r="W358" s="25">
        <f t="shared" si="417"/>
        <v>0</v>
      </c>
      <c r="X358" s="24">
        <f t="shared" si="418"/>
        <v>0</v>
      </c>
      <c r="Y358" s="26">
        <f t="shared" si="419"/>
        <v>0</v>
      </c>
      <c r="Z358" s="27">
        <f t="shared" si="420"/>
        <v>0</v>
      </c>
      <c r="AA358" s="28">
        <f t="shared" si="421"/>
        <v>45462</v>
      </c>
      <c r="AB358" s="24">
        <f t="shared" si="422"/>
        <v>0</v>
      </c>
      <c r="AC358" s="25">
        <f t="shared" si="423"/>
        <v>0</v>
      </c>
      <c r="AD358" s="28">
        <f t="shared" si="424"/>
        <v>45462</v>
      </c>
      <c r="AE358" s="24">
        <f t="shared" si="425"/>
        <v>0</v>
      </c>
      <c r="AF358" s="25">
        <f t="shared" si="426"/>
        <v>0</v>
      </c>
      <c r="AG358" s="28">
        <f t="shared" si="427"/>
        <v>45462</v>
      </c>
      <c r="AH358" s="24">
        <f t="shared" si="428"/>
        <v>0</v>
      </c>
      <c r="AI358" s="25">
        <f t="shared" si="429"/>
        <v>0</v>
      </c>
      <c r="AJ358" s="28">
        <f t="shared" si="430"/>
        <v>45462</v>
      </c>
      <c r="AK358" s="24">
        <f t="shared" si="431"/>
        <v>0</v>
      </c>
      <c r="AL358" s="25">
        <f t="shared" si="432"/>
        <v>0</v>
      </c>
      <c r="AM358" s="29">
        <f t="shared" si="433"/>
        <v>0</v>
      </c>
      <c r="AN358" s="28">
        <f t="shared" si="434"/>
        <v>45462</v>
      </c>
      <c r="AO358" s="373">
        <f t="shared" si="403"/>
        <v>0</v>
      </c>
      <c r="AP358" s="374">
        <f t="shared" si="404"/>
        <v>0</v>
      </c>
      <c r="AQ358" s="27">
        <f t="shared" si="405"/>
        <v>0</v>
      </c>
      <c r="AR358" s="25">
        <f t="shared" si="406"/>
        <v>0</v>
      </c>
      <c r="AS358" s="25">
        <f t="shared" si="407"/>
        <v>0</v>
      </c>
      <c r="AT358" s="25">
        <f t="shared" si="408"/>
        <v>0</v>
      </c>
      <c r="AU358" s="29">
        <f t="shared" si="465"/>
        <v>0</v>
      </c>
      <c r="AV358" s="27">
        <f t="shared" si="435"/>
        <v>0</v>
      </c>
      <c r="AW358" s="27">
        <f t="shared" si="436"/>
        <v>0</v>
      </c>
      <c r="AX358" s="27">
        <f t="shared" si="437"/>
        <v>0</v>
      </c>
      <c r="AY358" s="27">
        <f t="shared" si="438"/>
        <v>0</v>
      </c>
      <c r="BH358" s="2">
        <f t="shared" si="439"/>
        <v>0</v>
      </c>
      <c r="BI358" s="298" t="str">
        <f t="shared" si="440"/>
        <v/>
      </c>
      <c r="BJ358" s="298" t="str">
        <f t="shared" si="409"/>
        <v/>
      </c>
      <c r="BQ358" s="4">
        <f t="shared" si="441"/>
        <v>45462</v>
      </c>
      <c r="BR358" s="112">
        <f t="shared" si="442"/>
        <v>0</v>
      </c>
      <c r="BS358" s="112">
        <f t="shared" si="443"/>
        <v>0</v>
      </c>
      <c r="BT358" s="112">
        <f t="shared" si="444"/>
        <v>0</v>
      </c>
      <c r="BU358" s="112">
        <f t="shared" si="445"/>
        <v>0</v>
      </c>
      <c r="BV358" s="112">
        <f t="shared" si="446"/>
        <v>0</v>
      </c>
      <c r="CI358" s="4">
        <f t="shared" si="447"/>
        <v>45462</v>
      </c>
      <c r="CJ358" s="50">
        <f ca="1">IF($BH358=0,IF($CO358="",CJ357+R358,IF('283'!$K$251=1,VLOOKUP($CO358,PerStBal,2)+R358,IF('283'!$K$253=1,(VLOOKUP($CO358,PerPortion,2)*VLOOKUP($CO358,PerStBal,6))+R358,GL!BS358))),0)</f>
        <v>0</v>
      </c>
      <c r="CK358" s="425">
        <f ca="1">IF($BH358=0,IF($CO358="",CK357+T358,IF('283'!$K$251=1,IF(mname2&lt;&gt;"",VLOOKUP($CO358,PerStBal,3)+T358,0),IF('283'!$K$253=1,(VLOOKUP($CO358,PerPortion,3)*VLOOKUP($CO358,PerStBal,6))+T358,GL!BT358))),0)</f>
        <v>0</v>
      </c>
      <c r="CL358" s="425">
        <f ca="1">IF($BH358=0,IF($CO358="",CL357+V358,IF('283'!$K$251=1,IF(mname3&lt;&gt;"",VLOOKUP($CO358,PerStBal,4)+V358,0),IF('283'!$K$253=1,(VLOOKUP($CO358,PerPortion,4)*VLOOKUP($CO358,PerStBal,6))+V358,GL!BU358))),0)</f>
        <v>0</v>
      </c>
      <c r="CM358" s="425">
        <f ca="1">IF($BH358=0,IF($CO358="",CM357+X358,IF('283'!$K$251=1,IF(mname4&lt;&gt;"",VLOOKUP($CO358,PerStBal,5)+X358,0),IF('283'!$K$253=1,(VLOOKUP($CO358,PerPortion,5)*VLOOKUP($CO358,PerStBal,6))+X358,GL!BV358))),0)</f>
        <v>0</v>
      </c>
      <c r="CN358" s="50">
        <f t="shared" ca="1" si="448"/>
        <v>0</v>
      </c>
      <c r="CO358" s="4" t="str">
        <f t="shared" ca="1" si="449"/>
        <v/>
      </c>
      <c r="CP358" s="377">
        <f t="shared" si="410"/>
        <v>0</v>
      </c>
      <c r="DI358" s="4">
        <f t="shared" si="450"/>
        <v>45462</v>
      </c>
      <c r="DJ358" s="112">
        <f t="shared" ca="1" si="451"/>
        <v>0</v>
      </c>
      <c r="DK358" s="112">
        <f t="shared" si="452"/>
        <v>0</v>
      </c>
      <c r="DL358" s="4">
        <f t="shared" si="453"/>
        <v>45462</v>
      </c>
      <c r="DM358" s="112">
        <f t="shared" ca="1" si="454"/>
        <v>0</v>
      </c>
      <c r="DN358" s="112">
        <f t="shared" si="455"/>
        <v>0</v>
      </c>
      <c r="DO358" s="4">
        <f t="shared" si="456"/>
        <v>45462</v>
      </c>
      <c r="DP358" s="112">
        <f t="shared" ca="1" si="457"/>
        <v>0</v>
      </c>
      <c r="DQ358" s="112">
        <f t="shared" si="458"/>
        <v>0</v>
      </c>
      <c r="DR358" s="4">
        <f t="shared" si="459"/>
        <v>45462</v>
      </c>
      <c r="DS358" s="112">
        <f t="shared" ca="1" si="460"/>
        <v>0</v>
      </c>
      <c r="DT358" s="112">
        <f t="shared" si="461"/>
        <v>0</v>
      </c>
      <c r="DU358" s="4">
        <f t="shared" si="462"/>
        <v>45462</v>
      </c>
      <c r="DV358" s="112">
        <f t="shared" si="463"/>
        <v>0</v>
      </c>
      <c r="DW358" s="112">
        <f t="shared" si="464"/>
        <v>0</v>
      </c>
    </row>
    <row r="359" spans="17:127" x14ac:dyDescent="0.25">
      <c r="Q359" s="4">
        <f t="shared" si="411"/>
        <v>45463</v>
      </c>
      <c r="R359" s="24">
        <f t="shared" si="412"/>
        <v>0</v>
      </c>
      <c r="S359" s="25">
        <f t="shared" si="413"/>
        <v>0</v>
      </c>
      <c r="T359" s="24">
        <f t="shared" si="414"/>
        <v>0</v>
      </c>
      <c r="U359" s="25">
        <f t="shared" si="415"/>
        <v>0</v>
      </c>
      <c r="V359" s="24">
        <f t="shared" si="416"/>
        <v>0</v>
      </c>
      <c r="W359" s="25">
        <f t="shared" si="417"/>
        <v>0</v>
      </c>
      <c r="X359" s="24">
        <f t="shared" si="418"/>
        <v>0</v>
      </c>
      <c r="Y359" s="26">
        <f t="shared" si="419"/>
        <v>0</v>
      </c>
      <c r="Z359" s="27">
        <f t="shared" si="420"/>
        <v>0</v>
      </c>
      <c r="AA359" s="28">
        <f t="shared" si="421"/>
        <v>45463</v>
      </c>
      <c r="AB359" s="24">
        <f t="shared" si="422"/>
        <v>0</v>
      </c>
      <c r="AC359" s="25">
        <f t="shared" si="423"/>
        <v>0</v>
      </c>
      <c r="AD359" s="28">
        <f t="shared" si="424"/>
        <v>45463</v>
      </c>
      <c r="AE359" s="24">
        <f t="shared" si="425"/>
        <v>0</v>
      </c>
      <c r="AF359" s="25">
        <f t="shared" si="426"/>
        <v>0</v>
      </c>
      <c r="AG359" s="28">
        <f t="shared" si="427"/>
        <v>45463</v>
      </c>
      <c r="AH359" s="24">
        <f t="shared" si="428"/>
        <v>0</v>
      </c>
      <c r="AI359" s="25">
        <f t="shared" si="429"/>
        <v>0</v>
      </c>
      <c r="AJ359" s="28">
        <f t="shared" si="430"/>
        <v>45463</v>
      </c>
      <c r="AK359" s="24">
        <f t="shared" si="431"/>
        <v>0</v>
      </c>
      <c r="AL359" s="25">
        <f t="shared" si="432"/>
        <v>0</v>
      </c>
      <c r="AM359" s="29">
        <f t="shared" si="433"/>
        <v>0</v>
      </c>
      <c r="AN359" s="28">
        <f t="shared" si="434"/>
        <v>45463</v>
      </c>
      <c r="AO359" s="373">
        <f t="shared" si="403"/>
        <v>0</v>
      </c>
      <c r="AP359" s="374">
        <f t="shared" si="404"/>
        <v>0</v>
      </c>
      <c r="AQ359" s="27">
        <f t="shared" si="405"/>
        <v>0</v>
      </c>
      <c r="AR359" s="25">
        <f t="shared" si="406"/>
        <v>0</v>
      </c>
      <c r="AS359" s="25">
        <f t="shared" si="407"/>
        <v>0</v>
      </c>
      <c r="AT359" s="25">
        <f t="shared" si="408"/>
        <v>0</v>
      </c>
      <c r="AU359" s="29">
        <f t="shared" si="465"/>
        <v>0</v>
      </c>
      <c r="AV359" s="27">
        <f t="shared" si="435"/>
        <v>0</v>
      </c>
      <c r="AW359" s="27">
        <f t="shared" si="436"/>
        <v>0</v>
      </c>
      <c r="AX359" s="27">
        <f t="shared" si="437"/>
        <v>0</v>
      </c>
      <c r="AY359" s="27">
        <f t="shared" si="438"/>
        <v>0</v>
      </c>
      <c r="BH359" s="2">
        <f t="shared" si="439"/>
        <v>0</v>
      </c>
      <c r="BI359" s="298" t="str">
        <f t="shared" si="440"/>
        <v/>
      </c>
      <c r="BJ359" s="298" t="str">
        <f t="shared" si="409"/>
        <v/>
      </c>
      <c r="BQ359" s="4">
        <f t="shared" si="441"/>
        <v>45463</v>
      </c>
      <c r="BR359" s="112">
        <f t="shared" si="442"/>
        <v>0</v>
      </c>
      <c r="BS359" s="112">
        <f t="shared" si="443"/>
        <v>0</v>
      </c>
      <c r="BT359" s="112">
        <f t="shared" si="444"/>
        <v>0</v>
      </c>
      <c r="BU359" s="112">
        <f t="shared" si="445"/>
        <v>0</v>
      </c>
      <c r="BV359" s="112">
        <f t="shared" si="446"/>
        <v>0</v>
      </c>
      <c r="CI359" s="4">
        <f t="shared" si="447"/>
        <v>45463</v>
      </c>
      <c r="CJ359" s="50">
        <f ca="1">IF($BH359=0,IF($CO359="",CJ358+R359,IF('283'!$K$251=1,VLOOKUP($CO359,PerStBal,2)+R359,IF('283'!$K$253=1,(VLOOKUP($CO359,PerPortion,2)*VLOOKUP($CO359,PerStBal,6))+R359,GL!BS359))),0)</f>
        <v>0</v>
      </c>
      <c r="CK359" s="425">
        <f ca="1">IF($BH359=0,IF($CO359="",CK358+T359,IF('283'!$K$251=1,IF(mname2&lt;&gt;"",VLOOKUP($CO359,PerStBal,3)+T359,0),IF('283'!$K$253=1,(VLOOKUP($CO359,PerPortion,3)*VLOOKUP($CO359,PerStBal,6))+T359,GL!BT359))),0)</f>
        <v>0</v>
      </c>
      <c r="CL359" s="425">
        <f ca="1">IF($BH359=0,IF($CO359="",CL358+V359,IF('283'!$K$251=1,IF(mname3&lt;&gt;"",VLOOKUP($CO359,PerStBal,4)+V359,0),IF('283'!$K$253=1,(VLOOKUP($CO359,PerPortion,4)*VLOOKUP($CO359,PerStBal,6))+V359,GL!BU359))),0)</f>
        <v>0</v>
      </c>
      <c r="CM359" s="425">
        <f ca="1">IF($BH359=0,IF($CO359="",CM358+X359,IF('283'!$K$251=1,IF(mname4&lt;&gt;"",VLOOKUP($CO359,PerStBal,5)+X359,0),IF('283'!$K$253=1,(VLOOKUP($CO359,PerPortion,5)*VLOOKUP($CO359,PerStBal,6))+X359,GL!BV359))),0)</f>
        <v>0</v>
      </c>
      <c r="CN359" s="50">
        <f t="shared" ca="1" si="448"/>
        <v>0</v>
      </c>
      <c r="CO359" s="4" t="str">
        <f t="shared" ca="1" si="449"/>
        <v/>
      </c>
      <c r="CP359" s="377">
        <f t="shared" si="410"/>
        <v>0</v>
      </c>
      <c r="DI359" s="4">
        <f t="shared" si="450"/>
        <v>45463</v>
      </c>
      <c r="DJ359" s="112">
        <f t="shared" ca="1" si="451"/>
        <v>0</v>
      </c>
      <c r="DK359" s="112">
        <f t="shared" si="452"/>
        <v>0</v>
      </c>
      <c r="DL359" s="4">
        <f t="shared" si="453"/>
        <v>45463</v>
      </c>
      <c r="DM359" s="112">
        <f t="shared" ca="1" si="454"/>
        <v>0</v>
      </c>
      <c r="DN359" s="112">
        <f t="shared" si="455"/>
        <v>0</v>
      </c>
      <c r="DO359" s="4">
        <f t="shared" si="456"/>
        <v>45463</v>
      </c>
      <c r="DP359" s="112">
        <f t="shared" ca="1" si="457"/>
        <v>0</v>
      </c>
      <c r="DQ359" s="112">
        <f t="shared" si="458"/>
        <v>0</v>
      </c>
      <c r="DR359" s="4">
        <f t="shared" si="459"/>
        <v>45463</v>
      </c>
      <c r="DS359" s="112">
        <f t="shared" ca="1" si="460"/>
        <v>0</v>
      </c>
      <c r="DT359" s="112">
        <f t="shared" si="461"/>
        <v>0</v>
      </c>
      <c r="DU359" s="4">
        <f t="shared" si="462"/>
        <v>45463</v>
      </c>
      <c r="DV359" s="112">
        <f t="shared" si="463"/>
        <v>0</v>
      </c>
      <c r="DW359" s="112">
        <f t="shared" si="464"/>
        <v>0</v>
      </c>
    </row>
    <row r="360" spans="17:127" x14ac:dyDescent="0.25">
      <c r="Q360" s="4">
        <f t="shared" si="411"/>
        <v>45464</v>
      </c>
      <c r="R360" s="24">
        <f t="shared" si="412"/>
        <v>0</v>
      </c>
      <c r="S360" s="25">
        <f t="shared" si="413"/>
        <v>0</v>
      </c>
      <c r="T360" s="24">
        <f t="shared" si="414"/>
        <v>0</v>
      </c>
      <c r="U360" s="25">
        <f t="shared" si="415"/>
        <v>0</v>
      </c>
      <c r="V360" s="24">
        <f t="shared" si="416"/>
        <v>0</v>
      </c>
      <c r="W360" s="25">
        <f t="shared" si="417"/>
        <v>0</v>
      </c>
      <c r="X360" s="24">
        <f t="shared" si="418"/>
        <v>0</v>
      </c>
      <c r="Y360" s="26">
        <f t="shared" si="419"/>
        <v>0</v>
      </c>
      <c r="Z360" s="27">
        <f t="shared" si="420"/>
        <v>0</v>
      </c>
      <c r="AA360" s="28">
        <f t="shared" si="421"/>
        <v>45464</v>
      </c>
      <c r="AB360" s="24">
        <f t="shared" si="422"/>
        <v>0</v>
      </c>
      <c r="AC360" s="25">
        <f t="shared" si="423"/>
        <v>0</v>
      </c>
      <c r="AD360" s="28">
        <f t="shared" si="424"/>
        <v>45464</v>
      </c>
      <c r="AE360" s="24">
        <f t="shared" si="425"/>
        <v>0</v>
      </c>
      <c r="AF360" s="25">
        <f t="shared" si="426"/>
        <v>0</v>
      </c>
      <c r="AG360" s="28">
        <f t="shared" si="427"/>
        <v>45464</v>
      </c>
      <c r="AH360" s="24">
        <f t="shared" si="428"/>
        <v>0</v>
      </c>
      <c r="AI360" s="25">
        <f t="shared" si="429"/>
        <v>0</v>
      </c>
      <c r="AJ360" s="28">
        <f t="shared" si="430"/>
        <v>45464</v>
      </c>
      <c r="AK360" s="24">
        <f t="shared" si="431"/>
        <v>0</v>
      </c>
      <c r="AL360" s="25">
        <f t="shared" si="432"/>
        <v>0</v>
      </c>
      <c r="AM360" s="29">
        <f t="shared" si="433"/>
        <v>0</v>
      </c>
      <c r="AN360" s="28">
        <f t="shared" si="434"/>
        <v>45464</v>
      </c>
      <c r="AO360" s="373">
        <f t="shared" si="403"/>
        <v>0</v>
      </c>
      <c r="AP360" s="374">
        <f t="shared" si="404"/>
        <v>0</v>
      </c>
      <c r="AQ360" s="27">
        <f t="shared" si="405"/>
        <v>0</v>
      </c>
      <c r="AR360" s="25">
        <f t="shared" si="406"/>
        <v>0</v>
      </c>
      <c r="AS360" s="25">
        <f t="shared" si="407"/>
        <v>0</v>
      </c>
      <c r="AT360" s="25">
        <f t="shared" si="408"/>
        <v>0</v>
      </c>
      <c r="AU360" s="29">
        <f t="shared" si="465"/>
        <v>0</v>
      </c>
      <c r="AV360" s="27">
        <f t="shared" si="435"/>
        <v>0</v>
      </c>
      <c r="AW360" s="27">
        <f t="shared" si="436"/>
        <v>0</v>
      </c>
      <c r="AX360" s="27">
        <f t="shared" si="437"/>
        <v>0</v>
      </c>
      <c r="AY360" s="27">
        <f t="shared" si="438"/>
        <v>0</v>
      </c>
      <c r="BH360" s="2">
        <f t="shared" si="439"/>
        <v>0</v>
      </c>
      <c r="BI360" s="298" t="str">
        <f t="shared" si="440"/>
        <v/>
      </c>
      <c r="BJ360" s="298" t="str">
        <f t="shared" si="409"/>
        <v/>
      </c>
      <c r="BQ360" s="4">
        <f t="shared" si="441"/>
        <v>45464</v>
      </c>
      <c r="BR360" s="112">
        <f t="shared" si="442"/>
        <v>0</v>
      </c>
      <c r="BS360" s="112">
        <f t="shared" si="443"/>
        <v>0</v>
      </c>
      <c r="BT360" s="112">
        <f t="shared" si="444"/>
        <v>0</v>
      </c>
      <c r="BU360" s="112">
        <f t="shared" si="445"/>
        <v>0</v>
      </c>
      <c r="BV360" s="112">
        <f t="shared" si="446"/>
        <v>0</v>
      </c>
      <c r="CI360" s="4">
        <f t="shared" si="447"/>
        <v>45464</v>
      </c>
      <c r="CJ360" s="50">
        <f ca="1">IF($BH360=0,IF($CO360="",CJ359+R360,IF('283'!$K$251=1,VLOOKUP($CO360,PerStBal,2)+R360,IF('283'!$K$253=1,(VLOOKUP($CO360,PerPortion,2)*VLOOKUP($CO360,PerStBal,6))+R360,GL!BS360))),0)</f>
        <v>0</v>
      </c>
      <c r="CK360" s="425">
        <f ca="1">IF($BH360=0,IF($CO360="",CK359+T360,IF('283'!$K$251=1,IF(mname2&lt;&gt;"",VLOOKUP($CO360,PerStBal,3)+T360,0),IF('283'!$K$253=1,(VLOOKUP($CO360,PerPortion,3)*VLOOKUP($CO360,PerStBal,6))+T360,GL!BT360))),0)</f>
        <v>0</v>
      </c>
      <c r="CL360" s="425">
        <f ca="1">IF($BH360=0,IF($CO360="",CL359+V360,IF('283'!$K$251=1,IF(mname3&lt;&gt;"",VLOOKUP($CO360,PerStBal,4)+V360,0),IF('283'!$K$253=1,(VLOOKUP($CO360,PerPortion,4)*VLOOKUP($CO360,PerStBal,6))+V360,GL!BU360))),0)</f>
        <v>0</v>
      </c>
      <c r="CM360" s="425">
        <f ca="1">IF($BH360=0,IF($CO360="",CM359+X360,IF('283'!$K$251=1,IF(mname4&lt;&gt;"",VLOOKUP($CO360,PerStBal,5)+X360,0),IF('283'!$K$253=1,(VLOOKUP($CO360,PerPortion,5)*VLOOKUP($CO360,PerStBal,6))+X360,GL!BV360))),0)</f>
        <v>0</v>
      </c>
      <c r="CN360" s="50">
        <f t="shared" ca="1" si="448"/>
        <v>0</v>
      </c>
      <c r="CO360" s="4" t="str">
        <f t="shared" ca="1" si="449"/>
        <v/>
      </c>
      <c r="CP360" s="377">
        <f t="shared" si="410"/>
        <v>0</v>
      </c>
      <c r="DI360" s="4">
        <f t="shared" si="450"/>
        <v>45464</v>
      </c>
      <c r="DJ360" s="112">
        <f t="shared" ca="1" si="451"/>
        <v>0</v>
      </c>
      <c r="DK360" s="112">
        <f t="shared" si="452"/>
        <v>0</v>
      </c>
      <c r="DL360" s="4">
        <f t="shared" si="453"/>
        <v>45464</v>
      </c>
      <c r="DM360" s="112">
        <f t="shared" ca="1" si="454"/>
        <v>0</v>
      </c>
      <c r="DN360" s="112">
        <f t="shared" si="455"/>
        <v>0</v>
      </c>
      <c r="DO360" s="4">
        <f t="shared" si="456"/>
        <v>45464</v>
      </c>
      <c r="DP360" s="112">
        <f t="shared" ca="1" si="457"/>
        <v>0</v>
      </c>
      <c r="DQ360" s="112">
        <f t="shared" si="458"/>
        <v>0</v>
      </c>
      <c r="DR360" s="4">
        <f t="shared" si="459"/>
        <v>45464</v>
      </c>
      <c r="DS360" s="112">
        <f t="shared" ca="1" si="460"/>
        <v>0</v>
      </c>
      <c r="DT360" s="112">
        <f t="shared" si="461"/>
        <v>0</v>
      </c>
      <c r="DU360" s="4">
        <f t="shared" si="462"/>
        <v>45464</v>
      </c>
      <c r="DV360" s="112">
        <f t="shared" si="463"/>
        <v>0</v>
      </c>
      <c r="DW360" s="112">
        <f t="shared" si="464"/>
        <v>0</v>
      </c>
    </row>
    <row r="361" spans="17:127" x14ac:dyDescent="0.25">
      <c r="Q361" s="4">
        <f t="shared" si="411"/>
        <v>45465</v>
      </c>
      <c r="R361" s="24">
        <f t="shared" si="412"/>
        <v>0</v>
      </c>
      <c r="S361" s="25">
        <f t="shared" si="413"/>
        <v>0</v>
      </c>
      <c r="T361" s="24">
        <f t="shared" si="414"/>
        <v>0</v>
      </c>
      <c r="U361" s="25">
        <f t="shared" si="415"/>
        <v>0</v>
      </c>
      <c r="V361" s="24">
        <f t="shared" si="416"/>
        <v>0</v>
      </c>
      <c r="W361" s="25">
        <f t="shared" si="417"/>
        <v>0</v>
      </c>
      <c r="X361" s="24">
        <f t="shared" si="418"/>
        <v>0</v>
      </c>
      <c r="Y361" s="26">
        <f t="shared" si="419"/>
        <v>0</v>
      </c>
      <c r="Z361" s="27">
        <f t="shared" si="420"/>
        <v>0</v>
      </c>
      <c r="AA361" s="28">
        <f t="shared" si="421"/>
        <v>45465</v>
      </c>
      <c r="AB361" s="24">
        <f t="shared" si="422"/>
        <v>0</v>
      </c>
      <c r="AC361" s="25">
        <f t="shared" si="423"/>
        <v>0</v>
      </c>
      <c r="AD361" s="28">
        <f t="shared" si="424"/>
        <v>45465</v>
      </c>
      <c r="AE361" s="24">
        <f t="shared" si="425"/>
        <v>0</v>
      </c>
      <c r="AF361" s="25">
        <f t="shared" si="426"/>
        <v>0</v>
      </c>
      <c r="AG361" s="28">
        <f t="shared" si="427"/>
        <v>45465</v>
      </c>
      <c r="AH361" s="24">
        <f t="shared" si="428"/>
        <v>0</v>
      </c>
      <c r="AI361" s="25">
        <f t="shared" si="429"/>
        <v>0</v>
      </c>
      <c r="AJ361" s="28">
        <f t="shared" si="430"/>
        <v>45465</v>
      </c>
      <c r="AK361" s="24">
        <f t="shared" si="431"/>
        <v>0</v>
      </c>
      <c r="AL361" s="25">
        <f t="shared" si="432"/>
        <v>0</v>
      </c>
      <c r="AM361" s="29">
        <f t="shared" si="433"/>
        <v>0</v>
      </c>
      <c r="AN361" s="28">
        <f t="shared" si="434"/>
        <v>45465</v>
      </c>
      <c r="AO361" s="373">
        <f t="shared" si="403"/>
        <v>0</v>
      </c>
      <c r="AP361" s="374">
        <f t="shared" si="404"/>
        <v>0</v>
      </c>
      <c r="AQ361" s="27">
        <f t="shared" si="405"/>
        <v>0</v>
      </c>
      <c r="AR361" s="25">
        <f t="shared" si="406"/>
        <v>0</v>
      </c>
      <c r="AS361" s="25">
        <f t="shared" si="407"/>
        <v>0</v>
      </c>
      <c r="AT361" s="25">
        <f t="shared" si="408"/>
        <v>0</v>
      </c>
      <c r="AU361" s="29">
        <f t="shared" si="465"/>
        <v>0</v>
      </c>
      <c r="AV361" s="27">
        <f t="shared" si="435"/>
        <v>0</v>
      </c>
      <c r="AW361" s="27">
        <f t="shared" si="436"/>
        <v>0</v>
      </c>
      <c r="AX361" s="27">
        <f t="shared" si="437"/>
        <v>0</v>
      </c>
      <c r="AY361" s="27">
        <f t="shared" si="438"/>
        <v>0</v>
      </c>
      <c r="BH361" s="2">
        <f t="shared" si="439"/>
        <v>0</v>
      </c>
      <c r="BI361" s="298" t="str">
        <f t="shared" si="440"/>
        <v/>
      </c>
      <c r="BJ361" s="298" t="str">
        <f t="shared" si="409"/>
        <v/>
      </c>
      <c r="BQ361" s="4">
        <f t="shared" si="441"/>
        <v>45465</v>
      </c>
      <c r="BR361" s="112">
        <f t="shared" si="442"/>
        <v>0</v>
      </c>
      <c r="BS361" s="112">
        <f t="shared" si="443"/>
        <v>0</v>
      </c>
      <c r="BT361" s="112">
        <f t="shared" si="444"/>
        <v>0</v>
      </c>
      <c r="BU361" s="112">
        <f t="shared" si="445"/>
        <v>0</v>
      </c>
      <c r="BV361" s="112">
        <f t="shared" si="446"/>
        <v>0</v>
      </c>
      <c r="CI361" s="4">
        <f t="shared" si="447"/>
        <v>45465</v>
      </c>
      <c r="CJ361" s="50">
        <f ca="1">IF($BH361=0,IF($CO361="",CJ360+R361,IF('283'!$K$251=1,VLOOKUP($CO361,PerStBal,2)+R361,IF('283'!$K$253=1,(VLOOKUP($CO361,PerPortion,2)*VLOOKUP($CO361,PerStBal,6))+R361,GL!BS361))),0)</f>
        <v>0</v>
      </c>
      <c r="CK361" s="425">
        <f ca="1">IF($BH361=0,IF($CO361="",CK360+T361,IF('283'!$K$251=1,IF(mname2&lt;&gt;"",VLOOKUP($CO361,PerStBal,3)+T361,0),IF('283'!$K$253=1,(VLOOKUP($CO361,PerPortion,3)*VLOOKUP($CO361,PerStBal,6))+T361,GL!BT361))),0)</f>
        <v>0</v>
      </c>
      <c r="CL361" s="425">
        <f ca="1">IF($BH361=0,IF($CO361="",CL360+V361,IF('283'!$K$251=1,IF(mname3&lt;&gt;"",VLOOKUP($CO361,PerStBal,4)+V361,0),IF('283'!$K$253=1,(VLOOKUP($CO361,PerPortion,4)*VLOOKUP($CO361,PerStBal,6))+V361,GL!BU361))),0)</f>
        <v>0</v>
      </c>
      <c r="CM361" s="425">
        <f ca="1">IF($BH361=0,IF($CO361="",CM360+X361,IF('283'!$K$251=1,IF(mname4&lt;&gt;"",VLOOKUP($CO361,PerStBal,5)+X361,0),IF('283'!$K$253=1,(VLOOKUP($CO361,PerPortion,5)*VLOOKUP($CO361,PerStBal,6))+X361,GL!BV361))),0)</f>
        <v>0</v>
      </c>
      <c r="CN361" s="50">
        <f t="shared" ca="1" si="448"/>
        <v>0</v>
      </c>
      <c r="CO361" s="4" t="str">
        <f t="shared" ca="1" si="449"/>
        <v/>
      </c>
      <c r="CP361" s="377">
        <f t="shared" si="410"/>
        <v>0</v>
      </c>
      <c r="DI361" s="4">
        <f t="shared" si="450"/>
        <v>45465</v>
      </c>
      <c r="DJ361" s="112">
        <f t="shared" ca="1" si="451"/>
        <v>0</v>
      </c>
      <c r="DK361" s="112">
        <f t="shared" si="452"/>
        <v>0</v>
      </c>
      <c r="DL361" s="4">
        <f t="shared" si="453"/>
        <v>45465</v>
      </c>
      <c r="DM361" s="112">
        <f t="shared" ca="1" si="454"/>
        <v>0</v>
      </c>
      <c r="DN361" s="112">
        <f t="shared" si="455"/>
        <v>0</v>
      </c>
      <c r="DO361" s="4">
        <f t="shared" si="456"/>
        <v>45465</v>
      </c>
      <c r="DP361" s="112">
        <f t="shared" ca="1" si="457"/>
        <v>0</v>
      </c>
      <c r="DQ361" s="112">
        <f t="shared" si="458"/>
        <v>0</v>
      </c>
      <c r="DR361" s="4">
        <f t="shared" si="459"/>
        <v>45465</v>
      </c>
      <c r="DS361" s="112">
        <f t="shared" ca="1" si="460"/>
        <v>0</v>
      </c>
      <c r="DT361" s="112">
        <f t="shared" si="461"/>
        <v>0</v>
      </c>
      <c r="DU361" s="4">
        <f t="shared" si="462"/>
        <v>45465</v>
      </c>
      <c r="DV361" s="112">
        <f t="shared" si="463"/>
        <v>0</v>
      </c>
      <c r="DW361" s="112">
        <f t="shared" si="464"/>
        <v>0</v>
      </c>
    </row>
    <row r="362" spans="17:127" x14ac:dyDescent="0.25">
      <c r="Q362" s="4">
        <f t="shared" si="411"/>
        <v>45466</v>
      </c>
      <c r="R362" s="24">
        <f t="shared" si="412"/>
        <v>0</v>
      </c>
      <c r="S362" s="25">
        <f t="shared" si="413"/>
        <v>0</v>
      </c>
      <c r="T362" s="24">
        <f t="shared" si="414"/>
        <v>0</v>
      </c>
      <c r="U362" s="25">
        <f t="shared" si="415"/>
        <v>0</v>
      </c>
      <c r="V362" s="24">
        <f t="shared" si="416"/>
        <v>0</v>
      </c>
      <c r="W362" s="25">
        <f t="shared" si="417"/>
        <v>0</v>
      </c>
      <c r="X362" s="24">
        <f t="shared" si="418"/>
        <v>0</v>
      </c>
      <c r="Y362" s="26">
        <f t="shared" si="419"/>
        <v>0</v>
      </c>
      <c r="Z362" s="27">
        <f t="shared" si="420"/>
        <v>0</v>
      </c>
      <c r="AA362" s="28">
        <f t="shared" si="421"/>
        <v>45466</v>
      </c>
      <c r="AB362" s="24">
        <f t="shared" si="422"/>
        <v>0</v>
      </c>
      <c r="AC362" s="25">
        <f t="shared" si="423"/>
        <v>0</v>
      </c>
      <c r="AD362" s="28">
        <f t="shared" si="424"/>
        <v>45466</v>
      </c>
      <c r="AE362" s="24">
        <f t="shared" si="425"/>
        <v>0</v>
      </c>
      <c r="AF362" s="25">
        <f t="shared" si="426"/>
        <v>0</v>
      </c>
      <c r="AG362" s="28">
        <f t="shared" si="427"/>
        <v>45466</v>
      </c>
      <c r="AH362" s="24">
        <f t="shared" si="428"/>
        <v>0</v>
      </c>
      <c r="AI362" s="25">
        <f t="shared" si="429"/>
        <v>0</v>
      </c>
      <c r="AJ362" s="28">
        <f t="shared" si="430"/>
        <v>45466</v>
      </c>
      <c r="AK362" s="24">
        <f t="shared" si="431"/>
        <v>0</v>
      </c>
      <c r="AL362" s="25">
        <f t="shared" si="432"/>
        <v>0</v>
      </c>
      <c r="AM362" s="29">
        <f t="shared" si="433"/>
        <v>0</v>
      </c>
      <c r="AN362" s="28">
        <f t="shared" si="434"/>
        <v>45466</v>
      </c>
      <c r="AO362" s="373">
        <f t="shared" si="403"/>
        <v>0</v>
      </c>
      <c r="AP362" s="374">
        <f>SUM(AC362,AF362,AI362,AL362:AM362)</f>
        <v>0</v>
      </c>
      <c r="AQ362" s="27">
        <f t="shared" si="405"/>
        <v>0</v>
      </c>
      <c r="AR362" s="25">
        <f t="shared" si="406"/>
        <v>0</v>
      </c>
      <c r="AS362" s="25">
        <f t="shared" si="407"/>
        <v>0</v>
      </c>
      <c r="AT362" s="25">
        <f t="shared" si="408"/>
        <v>0</v>
      </c>
      <c r="AU362" s="29">
        <f t="shared" si="465"/>
        <v>0</v>
      </c>
      <c r="AV362" s="27">
        <f t="shared" si="435"/>
        <v>0</v>
      </c>
      <c r="AW362" s="27">
        <f t="shared" si="436"/>
        <v>0</v>
      </c>
      <c r="AX362" s="27">
        <f t="shared" si="437"/>
        <v>0</v>
      </c>
      <c r="AY362" s="27">
        <f t="shared" si="438"/>
        <v>0</v>
      </c>
      <c r="BH362" s="2">
        <f t="shared" si="439"/>
        <v>0</v>
      </c>
      <c r="BI362" s="298" t="str">
        <f t="shared" si="440"/>
        <v/>
      </c>
      <c r="BJ362" s="298" t="str">
        <f t="shared" si="409"/>
        <v/>
      </c>
      <c r="BQ362" s="4">
        <f t="shared" si="441"/>
        <v>45466</v>
      </c>
      <c r="BR362" s="112">
        <f t="shared" si="442"/>
        <v>0</v>
      </c>
      <c r="BS362" s="112">
        <f t="shared" si="443"/>
        <v>0</v>
      </c>
      <c r="BT362" s="112">
        <f t="shared" si="444"/>
        <v>0</v>
      </c>
      <c r="BU362" s="112">
        <f t="shared" si="445"/>
        <v>0</v>
      </c>
      <c r="BV362" s="112">
        <f t="shared" si="446"/>
        <v>0</v>
      </c>
      <c r="CI362" s="4">
        <f t="shared" si="447"/>
        <v>45466</v>
      </c>
      <c r="CJ362" s="50">
        <f ca="1">IF($BH362=0,IF($CO362="",CJ361+R362,IF('283'!$K$251=1,VLOOKUP($CO362,PerStBal,2)+R362,IF('283'!$K$253=1,(VLOOKUP($CO362,PerPortion,2)*VLOOKUP($CO362,PerStBal,6))+R362,GL!BS362))),0)</f>
        <v>0</v>
      </c>
      <c r="CK362" s="425">
        <f ca="1">IF($BH362=0,IF($CO362="",CK361+T362,IF('283'!$K$251=1,IF(mname2&lt;&gt;"",VLOOKUP($CO362,PerStBal,3)+T362,0),IF('283'!$K$253=1,(VLOOKUP($CO362,PerPortion,3)*VLOOKUP($CO362,PerStBal,6))+T362,GL!BT362))),0)</f>
        <v>0</v>
      </c>
      <c r="CL362" s="425">
        <f ca="1">IF($BH362=0,IF($CO362="",CL361+V362,IF('283'!$K$251=1,IF(mname3&lt;&gt;"",VLOOKUP($CO362,PerStBal,4)+V362,0),IF('283'!$K$253=1,(VLOOKUP($CO362,PerPortion,4)*VLOOKUP($CO362,PerStBal,6))+V362,GL!BU362))),0)</f>
        <v>0</v>
      </c>
      <c r="CM362" s="425">
        <f ca="1">IF($BH362=0,IF($CO362="",CM361+X362,IF('283'!$K$251=1,IF(mname4&lt;&gt;"",VLOOKUP($CO362,PerStBal,5)+X362,0),IF('283'!$K$253=1,(VLOOKUP($CO362,PerPortion,5)*VLOOKUP($CO362,PerStBal,6))+X362,GL!BV362))),0)</f>
        <v>0</v>
      </c>
      <c r="CN362" s="50">
        <f t="shared" ca="1" si="448"/>
        <v>0</v>
      </c>
      <c r="CO362" s="4" t="str">
        <f t="shared" ca="1" si="449"/>
        <v/>
      </c>
      <c r="CP362" s="377">
        <f t="shared" si="410"/>
        <v>0</v>
      </c>
      <c r="DI362" s="4">
        <f t="shared" si="450"/>
        <v>45466</v>
      </c>
      <c r="DJ362" s="112">
        <f t="shared" ca="1" si="451"/>
        <v>0</v>
      </c>
      <c r="DK362" s="112">
        <f t="shared" si="452"/>
        <v>0</v>
      </c>
      <c r="DL362" s="4">
        <f t="shared" si="453"/>
        <v>45466</v>
      </c>
      <c r="DM362" s="112">
        <f t="shared" ca="1" si="454"/>
        <v>0</v>
      </c>
      <c r="DN362" s="112">
        <f t="shared" si="455"/>
        <v>0</v>
      </c>
      <c r="DO362" s="4">
        <f t="shared" si="456"/>
        <v>45466</v>
      </c>
      <c r="DP362" s="112">
        <f t="shared" ca="1" si="457"/>
        <v>0</v>
      </c>
      <c r="DQ362" s="112">
        <f t="shared" si="458"/>
        <v>0</v>
      </c>
      <c r="DR362" s="4">
        <f t="shared" si="459"/>
        <v>45466</v>
      </c>
      <c r="DS362" s="112">
        <f t="shared" ca="1" si="460"/>
        <v>0</v>
      </c>
      <c r="DT362" s="112">
        <f t="shared" si="461"/>
        <v>0</v>
      </c>
      <c r="DU362" s="4">
        <f t="shared" si="462"/>
        <v>45466</v>
      </c>
      <c r="DV362" s="112">
        <f t="shared" si="463"/>
        <v>0</v>
      </c>
      <c r="DW362" s="112">
        <f t="shared" si="464"/>
        <v>0</v>
      </c>
    </row>
    <row r="363" spans="17:127" x14ac:dyDescent="0.25">
      <c r="Q363" s="4">
        <f t="shared" si="411"/>
        <v>45467</v>
      </c>
      <c r="R363" s="24">
        <f t="shared" si="412"/>
        <v>0</v>
      </c>
      <c r="S363" s="25">
        <f t="shared" si="413"/>
        <v>0</v>
      </c>
      <c r="T363" s="24">
        <f t="shared" si="414"/>
        <v>0</v>
      </c>
      <c r="U363" s="25">
        <f t="shared" si="415"/>
        <v>0</v>
      </c>
      <c r="V363" s="24">
        <f t="shared" si="416"/>
        <v>0</v>
      </c>
      <c r="W363" s="25">
        <f t="shared" si="417"/>
        <v>0</v>
      </c>
      <c r="X363" s="24">
        <f t="shared" si="418"/>
        <v>0</v>
      </c>
      <c r="Y363" s="26">
        <f t="shared" si="419"/>
        <v>0</v>
      </c>
      <c r="Z363" s="27">
        <f t="shared" si="420"/>
        <v>0</v>
      </c>
      <c r="AA363" s="28">
        <f t="shared" si="421"/>
        <v>45467</v>
      </c>
      <c r="AB363" s="24">
        <f t="shared" si="422"/>
        <v>0</v>
      </c>
      <c r="AC363" s="25">
        <f t="shared" si="423"/>
        <v>0</v>
      </c>
      <c r="AD363" s="28">
        <f t="shared" si="424"/>
        <v>45467</v>
      </c>
      <c r="AE363" s="24">
        <f t="shared" si="425"/>
        <v>0</v>
      </c>
      <c r="AF363" s="25">
        <f t="shared" si="426"/>
        <v>0</v>
      </c>
      <c r="AG363" s="28">
        <f t="shared" si="427"/>
        <v>45467</v>
      </c>
      <c r="AH363" s="24">
        <f t="shared" si="428"/>
        <v>0</v>
      </c>
      <c r="AI363" s="25">
        <f t="shared" si="429"/>
        <v>0</v>
      </c>
      <c r="AJ363" s="28">
        <f t="shared" si="430"/>
        <v>45467</v>
      </c>
      <c r="AK363" s="24">
        <f t="shared" si="431"/>
        <v>0</v>
      </c>
      <c r="AL363" s="25">
        <f t="shared" si="432"/>
        <v>0</v>
      </c>
      <c r="AM363" s="29">
        <f t="shared" si="433"/>
        <v>0</v>
      </c>
      <c r="AN363" s="28">
        <f t="shared" si="434"/>
        <v>45467</v>
      </c>
      <c r="AO363" s="373">
        <f t="shared" si="403"/>
        <v>0</v>
      </c>
      <c r="AP363" s="374">
        <f t="shared" si="404"/>
        <v>0</v>
      </c>
      <c r="AQ363" s="27">
        <f t="shared" si="405"/>
        <v>0</v>
      </c>
      <c r="AR363" s="25">
        <f t="shared" si="406"/>
        <v>0</v>
      </c>
      <c r="AS363" s="25">
        <f t="shared" si="407"/>
        <v>0</v>
      </c>
      <c r="AT363" s="25">
        <f t="shared" si="408"/>
        <v>0</v>
      </c>
      <c r="AU363" s="29">
        <f t="shared" si="465"/>
        <v>0</v>
      </c>
      <c r="AV363" s="27">
        <f t="shared" si="435"/>
        <v>0</v>
      </c>
      <c r="AW363" s="27">
        <f t="shared" si="436"/>
        <v>0</v>
      </c>
      <c r="AX363" s="27">
        <f t="shared" si="437"/>
        <v>0</v>
      </c>
      <c r="AY363" s="27">
        <f t="shared" si="438"/>
        <v>0</v>
      </c>
      <c r="BH363" s="2">
        <f t="shared" si="439"/>
        <v>0</v>
      </c>
      <c r="BI363" s="298" t="str">
        <f t="shared" si="440"/>
        <v/>
      </c>
      <c r="BJ363" s="298" t="str">
        <f t="shared" si="409"/>
        <v/>
      </c>
      <c r="BQ363" s="4">
        <f t="shared" si="441"/>
        <v>45467</v>
      </c>
      <c r="BR363" s="112">
        <f t="shared" si="442"/>
        <v>0</v>
      </c>
      <c r="BS363" s="112">
        <f t="shared" si="443"/>
        <v>0</v>
      </c>
      <c r="BT363" s="112">
        <f t="shared" si="444"/>
        <v>0</v>
      </c>
      <c r="BU363" s="112">
        <f t="shared" si="445"/>
        <v>0</v>
      </c>
      <c r="BV363" s="112">
        <f t="shared" si="446"/>
        <v>0</v>
      </c>
      <c r="CI363" s="4">
        <f t="shared" si="447"/>
        <v>45467</v>
      </c>
      <c r="CJ363" s="50">
        <f ca="1">IF($BH363=0,IF($CO363="",CJ362+R363,IF('283'!$K$251=1,VLOOKUP($CO363,PerStBal,2)+R363,IF('283'!$K$253=1,(VLOOKUP($CO363,PerPortion,2)*VLOOKUP($CO363,PerStBal,6))+R363,GL!BS363))),0)</f>
        <v>0</v>
      </c>
      <c r="CK363" s="425">
        <f ca="1">IF($BH363=0,IF($CO363="",CK362+T363,IF('283'!$K$251=1,IF(mname2&lt;&gt;"",VLOOKUP($CO363,PerStBal,3)+T363,0),IF('283'!$K$253=1,(VLOOKUP($CO363,PerPortion,3)*VLOOKUP($CO363,PerStBal,6))+T363,GL!BT363))),0)</f>
        <v>0</v>
      </c>
      <c r="CL363" s="425">
        <f ca="1">IF($BH363=0,IF($CO363="",CL362+V363,IF('283'!$K$251=1,IF(mname3&lt;&gt;"",VLOOKUP($CO363,PerStBal,4)+V363,0),IF('283'!$K$253=1,(VLOOKUP($CO363,PerPortion,4)*VLOOKUP($CO363,PerStBal,6))+V363,GL!BU363))),0)</f>
        <v>0</v>
      </c>
      <c r="CM363" s="425">
        <f ca="1">IF($BH363=0,IF($CO363="",CM362+X363,IF('283'!$K$251=1,IF(mname4&lt;&gt;"",VLOOKUP($CO363,PerStBal,5)+X363,0),IF('283'!$K$253=1,(VLOOKUP($CO363,PerPortion,5)*VLOOKUP($CO363,PerStBal,6))+X363,GL!BV363))),0)</f>
        <v>0</v>
      </c>
      <c r="CN363" s="50">
        <f t="shared" ca="1" si="448"/>
        <v>0</v>
      </c>
      <c r="CO363" s="4" t="str">
        <f t="shared" ca="1" si="449"/>
        <v/>
      </c>
      <c r="CP363" s="377">
        <f t="shared" si="410"/>
        <v>0</v>
      </c>
      <c r="DI363" s="4">
        <f t="shared" si="450"/>
        <v>45467</v>
      </c>
      <c r="DJ363" s="112">
        <f t="shared" ca="1" si="451"/>
        <v>0</v>
      </c>
      <c r="DK363" s="112">
        <f t="shared" si="452"/>
        <v>0</v>
      </c>
      <c r="DL363" s="4">
        <f t="shared" si="453"/>
        <v>45467</v>
      </c>
      <c r="DM363" s="112">
        <f t="shared" ca="1" si="454"/>
        <v>0</v>
      </c>
      <c r="DN363" s="112">
        <f t="shared" si="455"/>
        <v>0</v>
      </c>
      <c r="DO363" s="4">
        <f t="shared" si="456"/>
        <v>45467</v>
      </c>
      <c r="DP363" s="112">
        <f t="shared" ca="1" si="457"/>
        <v>0</v>
      </c>
      <c r="DQ363" s="112">
        <f t="shared" si="458"/>
        <v>0</v>
      </c>
      <c r="DR363" s="4">
        <f t="shared" si="459"/>
        <v>45467</v>
      </c>
      <c r="DS363" s="112">
        <f t="shared" ca="1" si="460"/>
        <v>0</v>
      </c>
      <c r="DT363" s="112">
        <f t="shared" si="461"/>
        <v>0</v>
      </c>
      <c r="DU363" s="4">
        <f t="shared" si="462"/>
        <v>45467</v>
      </c>
      <c r="DV363" s="112">
        <f t="shared" si="463"/>
        <v>0</v>
      </c>
      <c r="DW363" s="112">
        <f t="shared" si="464"/>
        <v>0</v>
      </c>
    </row>
    <row r="364" spans="17:127" x14ac:dyDescent="0.25">
      <c r="Q364" s="4">
        <f t="shared" si="411"/>
        <v>45468</v>
      </c>
      <c r="R364" s="24">
        <f t="shared" si="412"/>
        <v>0</v>
      </c>
      <c r="S364" s="25">
        <f t="shared" si="413"/>
        <v>0</v>
      </c>
      <c r="T364" s="24">
        <f t="shared" si="414"/>
        <v>0</v>
      </c>
      <c r="U364" s="25">
        <f t="shared" si="415"/>
        <v>0</v>
      </c>
      <c r="V364" s="24">
        <f t="shared" si="416"/>
        <v>0</v>
      </c>
      <c r="W364" s="25">
        <f t="shared" si="417"/>
        <v>0</v>
      </c>
      <c r="X364" s="24">
        <f t="shared" si="418"/>
        <v>0</v>
      </c>
      <c r="Y364" s="26">
        <f t="shared" si="419"/>
        <v>0</v>
      </c>
      <c r="Z364" s="27">
        <f t="shared" si="420"/>
        <v>0</v>
      </c>
      <c r="AA364" s="28">
        <f t="shared" si="421"/>
        <v>45468</v>
      </c>
      <c r="AB364" s="24">
        <f t="shared" si="422"/>
        <v>0</v>
      </c>
      <c r="AC364" s="25">
        <f t="shared" si="423"/>
        <v>0</v>
      </c>
      <c r="AD364" s="28">
        <f t="shared" si="424"/>
        <v>45468</v>
      </c>
      <c r="AE364" s="24">
        <f t="shared" si="425"/>
        <v>0</v>
      </c>
      <c r="AF364" s="25">
        <f t="shared" si="426"/>
        <v>0</v>
      </c>
      <c r="AG364" s="28">
        <f t="shared" si="427"/>
        <v>45468</v>
      </c>
      <c r="AH364" s="24">
        <f t="shared" si="428"/>
        <v>0</v>
      </c>
      <c r="AI364" s="25">
        <f t="shared" si="429"/>
        <v>0</v>
      </c>
      <c r="AJ364" s="28">
        <f t="shared" si="430"/>
        <v>45468</v>
      </c>
      <c r="AK364" s="24">
        <f t="shared" si="431"/>
        <v>0</v>
      </c>
      <c r="AL364" s="25">
        <f t="shared" si="432"/>
        <v>0</v>
      </c>
      <c r="AM364" s="29">
        <f t="shared" si="433"/>
        <v>0</v>
      </c>
      <c r="AN364" s="28">
        <f t="shared" si="434"/>
        <v>45468</v>
      </c>
      <c r="AO364" s="373">
        <f t="shared" si="403"/>
        <v>0</v>
      </c>
      <c r="AP364" s="374">
        <f t="shared" si="404"/>
        <v>0</v>
      </c>
      <c r="AQ364" s="27">
        <f t="shared" si="405"/>
        <v>0</v>
      </c>
      <c r="AR364" s="25">
        <f t="shared" si="406"/>
        <v>0</v>
      </c>
      <c r="AS364" s="25">
        <f t="shared" si="407"/>
        <v>0</v>
      </c>
      <c r="AT364" s="25">
        <f t="shared" si="408"/>
        <v>0</v>
      </c>
      <c r="AU364" s="29">
        <f t="shared" si="465"/>
        <v>0</v>
      </c>
      <c r="AV364" s="27">
        <f t="shared" si="435"/>
        <v>0</v>
      </c>
      <c r="AW364" s="27">
        <f t="shared" si="436"/>
        <v>0</v>
      </c>
      <c r="AX364" s="27">
        <f t="shared" si="437"/>
        <v>0</v>
      </c>
      <c r="AY364" s="27">
        <f t="shared" si="438"/>
        <v>0</v>
      </c>
      <c r="BH364" s="2">
        <f t="shared" si="439"/>
        <v>0</v>
      </c>
      <c r="BI364" s="298" t="str">
        <f t="shared" si="440"/>
        <v/>
      </c>
      <c r="BJ364" s="298" t="str">
        <f t="shared" si="409"/>
        <v/>
      </c>
      <c r="BQ364" s="4">
        <f t="shared" si="441"/>
        <v>45468</v>
      </c>
      <c r="BR364" s="112">
        <f t="shared" si="442"/>
        <v>0</v>
      </c>
      <c r="BS364" s="112">
        <f t="shared" si="443"/>
        <v>0</v>
      </c>
      <c r="BT364" s="112">
        <f t="shared" si="444"/>
        <v>0</v>
      </c>
      <c r="BU364" s="112">
        <f t="shared" si="445"/>
        <v>0</v>
      </c>
      <c r="BV364" s="112">
        <f t="shared" si="446"/>
        <v>0</v>
      </c>
      <c r="CI364" s="4">
        <f t="shared" si="447"/>
        <v>45468</v>
      </c>
      <c r="CJ364" s="50">
        <f ca="1">IF($BH364=0,IF($CO364="",CJ363+R364,IF('283'!$K$251=1,VLOOKUP($CO364,PerStBal,2)+R364,IF('283'!$K$253=1,(VLOOKUP($CO364,PerPortion,2)*VLOOKUP($CO364,PerStBal,6))+R364,GL!BS364))),0)</f>
        <v>0</v>
      </c>
      <c r="CK364" s="425">
        <f ca="1">IF($BH364=0,IF($CO364="",CK363+T364,IF('283'!$K$251=1,IF(mname2&lt;&gt;"",VLOOKUP($CO364,PerStBal,3)+T364,0),IF('283'!$K$253=1,(VLOOKUP($CO364,PerPortion,3)*VLOOKUP($CO364,PerStBal,6))+T364,GL!BT364))),0)</f>
        <v>0</v>
      </c>
      <c r="CL364" s="425">
        <f ca="1">IF($BH364=0,IF($CO364="",CL363+V364,IF('283'!$K$251=1,IF(mname3&lt;&gt;"",VLOOKUP($CO364,PerStBal,4)+V364,0),IF('283'!$K$253=1,(VLOOKUP($CO364,PerPortion,4)*VLOOKUP($CO364,PerStBal,6))+V364,GL!BU364))),0)</f>
        <v>0</v>
      </c>
      <c r="CM364" s="425">
        <f ca="1">IF($BH364=0,IF($CO364="",CM363+X364,IF('283'!$K$251=1,IF(mname4&lt;&gt;"",VLOOKUP($CO364,PerStBal,5)+X364,0),IF('283'!$K$253=1,(VLOOKUP($CO364,PerPortion,5)*VLOOKUP($CO364,PerStBal,6))+X364,GL!BV364))),0)</f>
        <v>0</v>
      </c>
      <c r="CN364" s="50">
        <f ca="1">IFERROR(VLOOKUP(CO364,PerStBal,6),0)</f>
        <v>0</v>
      </c>
      <c r="CO364" s="4" t="str">
        <f t="shared" ca="1" si="449"/>
        <v/>
      </c>
      <c r="CP364" s="377">
        <f t="shared" si="410"/>
        <v>0</v>
      </c>
      <c r="DI364" s="4">
        <f t="shared" si="450"/>
        <v>45468</v>
      </c>
      <c r="DJ364" s="112">
        <f t="shared" ca="1" si="451"/>
        <v>0</v>
      </c>
      <c r="DK364" s="112">
        <f t="shared" si="452"/>
        <v>0</v>
      </c>
      <c r="DL364" s="4">
        <f t="shared" si="453"/>
        <v>45468</v>
      </c>
      <c r="DM364" s="112">
        <f t="shared" ca="1" si="454"/>
        <v>0</v>
      </c>
      <c r="DN364" s="112">
        <f t="shared" si="455"/>
        <v>0</v>
      </c>
      <c r="DO364" s="4">
        <f t="shared" si="456"/>
        <v>45468</v>
      </c>
      <c r="DP364" s="112">
        <f t="shared" ca="1" si="457"/>
        <v>0</v>
      </c>
      <c r="DQ364" s="112">
        <f t="shared" si="458"/>
        <v>0</v>
      </c>
      <c r="DR364" s="4">
        <f t="shared" si="459"/>
        <v>45468</v>
      </c>
      <c r="DS364" s="112">
        <f t="shared" ca="1" si="460"/>
        <v>0</v>
      </c>
      <c r="DT364" s="112">
        <f t="shared" si="461"/>
        <v>0</v>
      </c>
      <c r="DU364" s="4">
        <f t="shared" si="462"/>
        <v>45468</v>
      </c>
      <c r="DV364" s="112">
        <f t="shared" si="463"/>
        <v>0</v>
      </c>
      <c r="DW364" s="112">
        <f t="shared" si="464"/>
        <v>0</v>
      </c>
    </row>
    <row r="365" spans="17:127" x14ac:dyDescent="0.25">
      <c r="Q365" s="4">
        <f t="shared" si="411"/>
        <v>45469</v>
      </c>
      <c r="R365" s="24">
        <f t="shared" si="412"/>
        <v>0</v>
      </c>
      <c r="S365" s="25">
        <f t="shared" si="413"/>
        <v>0</v>
      </c>
      <c r="T365" s="24">
        <f t="shared" si="414"/>
        <v>0</v>
      </c>
      <c r="U365" s="25">
        <f t="shared" si="415"/>
        <v>0</v>
      </c>
      <c r="V365" s="24">
        <f t="shared" si="416"/>
        <v>0</v>
      </c>
      <c r="W365" s="25">
        <f t="shared" si="417"/>
        <v>0</v>
      </c>
      <c r="X365" s="24">
        <f t="shared" si="418"/>
        <v>0</v>
      </c>
      <c r="Y365" s="26">
        <f t="shared" si="419"/>
        <v>0</v>
      </c>
      <c r="Z365" s="27">
        <f t="shared" si="420"/>
        <v>0</v>
      </c>
      <c r="AA365" s="28">
        <f t="shared" si="421"/>
        <v>45469</v>
      </c>
      <c r="AB365" s="24">
        <f t="shared" si="422"/>
        <v>0</v>
      </c>
      <c r="AC365" s="25">
        <f t="shared" si="423"/>
        <v>0</v>
      </c>
      <c r="AD365" s="28">
        <f t="shared" si="424"/>
        <v>45469</v>
      </c>
      <c r="AE365" s="24">
        <f t="shared" si="425"/>
        <v>0</v>
      </c>
      <c r="AF365" s="25">
        <f t="shared" si="426"/>
        <v>0</v>
      </c>
      <c r="AG365" s="28">
        <f t="shared" si="427"/>
        <v>45469</v>
      </c>
      <c r="AH365" s="24">
        <f t="shared" si="428"/>
        <v>0</v>
      </c>
      <c r="AI365" s="25">
        <f t="shared" si="429"/>
        <v>0</v>
      </c>
      <c r="AJ365" s="28">
        <f t="shared" si="430"/>
        <v>45469</v>
      </c>
      <c r="AK365" s="24">
        <f t="shared" si="431"/>
        <v>0</v>
      </c>
      <c r="AL365" s="25">
        <f t="shared" si="432"/>
        <v>0</v>
      </c>
      <c r="AM365" s="29">
        <f t="shared" si="433"/>
        <v>0</v>
      </c>
      <c r="AN365" s="28">
        <f t="shared" si="434"/>
        <v>45469</v>
      </c>
      <c r="AO365" s="373">
        <f t="shared" si="403"/>
        <v>0</v>
      </c>
      <c r="AP365" s="374">
        <f t="shared" si="404"/>
        <v>0</v>
      </c>
      <c r="AQ365" s="27">
        <f t="shared" si="405"/>
        <v>0</v>
      </c>
      <c r="AR365" s="25">
        <f t="shared" si="406"/>
        <v>0</v>
      </c>
      <c r="AS365" s="25">
        <f t="shared" si="407"/>
        <v>0</v>
      </c>
      <c r="AT365" s="25">
        <f t="shared" si="408"/>
        <v>0</v>
      </c>
      <c r="AU365" s="29">
        <f t="shared" si="465"/>
        <v>0</v>
      </c>
      <c r="AV365" s="27">
        <f t="shared" si="435"/>
        <v>0</v>
      </c>
      <c r="AW365" s="27">
        <f t="shared" si="436"/>
        <v>0</v>
      </c>
      <c r="AX365" s="27">
        <f t="shared" si="437"/>
        <v>0</v>
      </c>
      <c r="AY365" s="27">
        <f t="shared" si="438"/>
        <v>0</v>
      </c>
      <c r="BH365" s="2">
        <f t="shared" si="439"/>
        <v>0</v>
      </c>
      <c r="BI365" s="298" t="str">
        <f t="shared" si="440"/>
        <v/>
      </c>
      <c r="BJ365" s="298" t="str">
        <f t="shared" si="409"/>
        <v/>
      </c>
      <c r="BQ365" s="4">
        <f t="shared" si="441"/>
        <v>45469</v>
      </c>
      <c r="BR365" s="112">
        <f t="shared" si="442"/>
        <v>0</v>
      </c>
      <c r="BS365" s="112">
        <f t="shared" si="443"/>
        <v>0</v>
      </c>
      <c r="BT365" s="112">
        <f t="shared" si="444"/>
        <v>0</v>
      </c>
      <c r="BU365" s="112">
        <f t="shared" si="445"/>
        <v>0</v>
      </c>
      <c r="BV365" s="112">
        <f t="shared" si="446"/>
        <v>0</v>
      </c>
      <c r="CI365" s="4">
        <f t="shared" si="447"/>
        <v>45469</v>
      </c>
      <c r="CJ365" s="50">
        <f ca="1">IF($BH365=0,IF($CO365="",CJ364+R365,IF('283'!$K$251=1,VLOOKUP($CO365,PerStBal,2)+R365,IF('283'!$K$253=1,(VLOOKUP($CO365,PerPortion,2)*VLOOKUP($CO365,PerStBal,6))+R365,GL!BS365))),0)</f>
        <v>0</v>
      </c>
      <c r="CK365" s="425">
        <f ca="1">IF($BH365=0,IF($CO365="",CK364+T365,IF('283'!$K$251=1,IF(mname2&lt;&gt;"",VLOOKUP($CO365,PerStBal,3)+T365,0),IF('283'!$K$253=1,(VLOOKUP($CO365,PerPortion,3)*VLOOKUP($CO365,PerStBal,6))+T365,GL!BT365))),0)</f>
        <v>0</v>
      </c>
      <c r="CL365" s="425">
        <f ca="1">IF($BH365=0,IF($CO365="",CL364+V365,IF('283'!$K$251=1,IF(mname3&lt;&gt;"",VLOOKUP($CO365,PerStBal,4)+V365,0),IF('283'!$K$253=1,(VLOOKUP($CO365,PerPortion,4)*VLOOKUP($CO365,PerStBal,6))+V365,GL!BU365))),0)</f>
        <v>0</v>
      </c>
      <c r="CM365" s="425">
        <f ca="1">IF($BH365=0,IF($CO365="",CM364+X365,IF('283'!$K$251=1,IF(mname4&lt;&gt;"",VLOOKUP($CO365,PerStBal,5)+X365,0),IF('283'!$K$253=1,(VLOOKUP($CO365,PerPortion,5)*VLOOKUP($CO365,PerStBal,6))+X365,GL!BV365))),0)</f>
        <v>0</v>
      </c>
      <c r="CN365" s="50">
        <f t="shared" ca="1" si="448"/>
        <v>0</v>
      </c>
      <c r="CO365" s="4" t="str">
        <f t="shared" ca="1" si="449"/>
        <v/>
      </c>
      <c r="CP365" s="377">
        <f t="shared" si="410"/>
        <v>0</v>
      </c>
      <c r="DI365" s="4">
        <f t="shared" si="450"/>
        <v>45469</v>
      </c>
      <c r="DJ365" s="112">
        <f t="shared" ca="1" si="451"/>
        <v>0</v>
      </c>
      <c r="DK365" s="112">
        <f t="shared" si="452"/>
        <v>0</v>
      </c>
      <c r="DL365" s="4">
        <f t="shared" si="453"/>
        <v>45469</v>
      </c>
      <c r="DM365" s="112">
        <f t="shared" ca="1" si="454"/>
        <v>0</v>
      </c>
      <c r="DN365" s="112">
        <f t="shared" si="455"/>
        <v>0</v>
      </c>
      <c r="DO365" s="4">
        <f t="shared" si="456"/>
        <v>45469</v>
      </c>
      <c r="DP365" s="112">
        <f t="shared" ca="1" si="457"/>
        <v>0</v>
      </c>
      <c r="DQ365" s="112">
        <f t="shared" si="458"/>
        <v>0</v>
      </c>
      <c r="DR365" s="4">
        <f t="shared" si="459"/>
        <v>45469</v>
      </c>
      <c r="DS365" s="112">
        <f t="shared" ca="1" si="460"/>
        <v>0</v>
      </c>
      <c r="DT365" s="112">
        <f t="shared" si="461"/>
        <v>0</v>
      </c>
      <c r="DU365" s="4">
        <f t="shared" si="462"/>
        <v>45469</v>
      </c>
      <c r="DV365" s="112">
        <f t="shared" si="463"/>
        <v>0</v>
      </c>
      <c r="DW365" s="112">
        <f t="shared" si="464"/>
        <v>0</v>
      </c>
    </row>
    <row r="366" spans="17:127" x14ac:dyDescent="0.25">
      <c r="Q366" s="4">
        <f t="shared" si="411"/>
        <v>45470</v>
      </c>
      <c r="R366" s="24">
        <f t="shared" si="412"/>
        <v>0</v>
      </c>
      <c r="S366" s="25">
        <f t="shared" si="413"/>
        <v>0</v>
      </c>
      <c r="T366" s="24">
        <f t="shared" si="414"/>
        <v>0</v>
      </c>
      <c r="U366" s="25">
        <f t="shared" si="415"/>
        <v>0</v>
      </c>
      <c r="V366" s="24">
        <f t="shared" si="416"/>
        <v>0</v>
      </c>
      <c r="W366" s="25">
        <f t="shared" si="417"/>
        <v>0</v>
      </c>
      <c r="X366" s="24">
        <f t="shared" si="418"/>
        <v>0</v>
      </c>
      <c r="Y366" s="26">
        <f t="shared" si="419"/>
        <v>0</v>
      </c>
      <c r="Z366" s="27">
        <f t="shared" si="420"/>
        <v>0</v>
      </c>
      <c r="AA366" s="28">
        <f t="shared" si="421"/>
        <v>45470</v>
      </c>
      <c r="AB366" s="24">
        <f t="shared" si="422"/>
        <v>0</v>
      </c>
      <c r="AC366" s="25">
        <f t="shared" si="423"/>
        <v>0</v>
      </c>
      <c r="AD366" s="28">
        <f t="shared" si="424"/>
        <v>45470</v>
      </c>
      <c r="AE366" s="24">
        <f t="shared" si="425"/>
        <v>0</v>
      </c>
      <c r="AF366" s="25">
        <f t="shared" si="426"/>
        <v>0</v>
      </c>
      <c r="AG366" s="28">
        <f t="shared" si="427"/>
        <v>45470</v>
      </c>
      <c r="AH366" s="24">
        <f t="shared" si="428"/>
        <v>0</v>
      </c>
      <c r="AI366" s="25">
        <f t="shared" si="429"/>
        <v>0</v>
      </c>
      <c r="AJ366" s="28">
        <f t="shared" si="430"/>
        <v>45470</v>
      </c>
      <c r="AK366" s="24">
        <f t="shared" si="431"/>
        <v>0</v>
      </c>
      <c r="AL366" s="25">
        <f t="shared" si="432"/>
        <v>0</v>
      </c>
      <c r="AM366" s="29">
        <f t="shared" si="433"/>
        <v>0</v>
      </c>
      <c r="AN366" s="28">
        <f t="shared" si="434"/>
        <v>45470</v>
      </c>
      <c r="AO366" s="373">
        <f t="shared" si="403"/>
        <v>0</v>
      </c>
      <c r="AP366" s="374">
        <f t="shared" si="404"/>
        <v>0</v>
      </c>
      <c r="AQ366" s="27">
        <f t="shared" si="405"/>
        <v>0</v>
      </c>
      <c r="AR366" s="25">
        <f t="shared" si="406"/>
        <v>0</v>
      </c>
      <c r="AS366" s="25">
        <f t="shared" si="407"/>
        <v>0</v>
      </c>
      <c r="AT366" s="25">
        <f t="shared" si="408"/>
        <v>0</v>
      </c>
      <c r="AU366" s="29">
        <f t="shared" si="465"/>
        <v>0</v>
      </c>
      <c r="AV366" s="27">
        <f t="shared" si="435"/>
        <v>0</v>
      </c>
      <c r="AW366" s="27">
        <f t="shared" si="436"/>
        <v>0</v>
      </c>
      <c r="AX366" s="27">
        <f t="shared" si="437"/>
        <v>0</v>
      </c>
      <c r="AY366" s="27">
        <f t="shared" si="438"/>
        <v>0</v>
      </c>
      <c r="BH366" s="2">
        <f t="shared" si="439"/>
        <v>0</v>
      </c>
      <c r="BI366" s="298" t="str">
        <f t="shared" si="440"/>
        <v/>
      </c>
      <c r="BJ366" s="298" t="str">
        <f t="shared" si="409"/>
        <v/>
      </c>
      <c r="BQ366" s="4">
        <f t="shared" si="441"/>
        <v>45470</v>
      </c>
      <c r="BR366" s="112">
        <f t="shared" si="442"/>
        <v>0</v>
      </c>
      <c r="BS366" s="112">
        <f t="shared" si="443"/>
        <v>0</v>
      </c>
      <c r="BT366" s="112">
        <f t="shared" si="444"/>
        <v>0</v>
      </c>
      <c r="BU366" s="112">
        <f t="shared" si="445"/>
        <v>0</v>
      </c>
      <c r="BV366" s="112">
        <f t="shared" si="446"/>
        <v>0</v>
      </c>
      <c r="CI366" s="4">
        <f t="shared" si="447"/>
        <v>45470</v>
      </c>
      <c r="CJ366" s="50">
        <f ca="1">IF($BH366=0,IF($CO366="",CJ365+R366,IF('283'!$K$251=1,VLOOKUP($CO366,PerStBal,2)+R366,IF('283'!$K$253=1,(VLOOKUP($CO366,PerPortion,2)*VLOOKUP($CO366,PerStBal,6))+R366,GL!BS366))),0)</f>
        <v>0</v>
      </c>
      <c r="CK366" s="425">
        <f ca="1">IF($BH366=0,IF($CO366="",CK365+T366,IF('283'!$K$251=1,IF(mname2&lt;&gt;"",VLOOKUP($CO366,PerStBal,3)+T366,0),IF('283'!$K$253=1,(VLOOKUP($CO366,PerPortion,3)*VLOOKUP($CO366,PerStBal,6))+T366,GL!BT366))),0)</f>
        <v>0</v>
      </c>
      <c r="CL366" s="425">
        <f ca="1">IF($BH366=0,IF($CO366="",CL365+V366,IF('283'!$K$251=1,IF(mname3&lt;&gt;"",VLOOKUP($CO366,PerStBal,4)+V366,0),IF('283'!$K$253=1,(VLOOKUP($CO366,PerPortion,4)*VLOOKUP($CO366,PerStBal,6))+V366,GL!BU366))),0)</f>
        <v>0</v>
      </c>
      <c r="CM366" s="425">
        <f ca="1">IF($BH366=0,IF($CO366="",CM365+X366,IF('283'!$K$251=1,IF(mname4&lt;&gt;"",VLOOKUP($CO366,PerStBal,5)+X366,0),IF('283'!$K$253=1,(VLOOKUP($CO366,PerPortion,5)*VLOOKUP($CO366,PerStBal,6))+X366,GL!BV366))),0)</f>
        <v>0</v>
      </c>
      <c r="CN366" s="50">
        <f t="shared" ca="1" si="448"/>
        <v>0</v>
      </c>
      <c r="CO366" s="4" t="str">
        <f t="shared" ca="1" si="449"/>
        <v/>
      </c>
      <c r="CP366" s="377">
        <f t="shared" si="410"/>
        <v>0</v>
      </c>
      <c r="DI366" s="4">
        <f t="shared" si="450"/>
        <v>45470</v>
      </c>
      <c r="DJ366" s="112">
        <f t="shared" ca="1" si="451"/>
        <v>0</v>
      </c>
      <c r="DK366" s="112">
        <f t="shared" si="452"/>
        <v>0</v>
      </c>
      <c r="DL366" s="4">
        <f t="shared" si="453"/>
        <v>45470</v>
      </c>
      <c r="DM366" s="112">
        <f t="shared" ca="1" si="454"/>
        <v>0</v>
      </c>
      <c r="DN366" s="112">
        <f t="shared" si="455"/>
        <v>0</v>
      </c>
      <c r="DO366" s="4">
        <f t="shared" si="456"/>
        <v>45470</v>
      </c>
      <c r="DP366" s="112">
        <f t="shared" ca="1" si="457"/>
        <v>0</v>
      </c>
      <c r="DQ366" s="112">
        <f t="shared" si="458"/>
        <v>0</v>
      </c>
      <c r="DR366" s="4">
        <f t="shared" si="459"/>
        <v>45470</v>
      </c>
      <c r="DS366" s="112">
        <f t="shared" ca="1" si="460"/>
        <v>0</v>
      </c>
      <c r="DT366" s="112">
        <f t="shared" si="461"/>
        <v>0</v>
      </c>
      <c r="DU366" s="4">
        <f t="shared" si="462"/>
        <v>45470</v>
      </c>
      <c r="DV366" s="112">
        <f t="shared" si="463"/>
        <v>0</v>
      </c>
      <c r="DW366" s="112">
        <f t="shared" si="464"/>
        <v>0</v>
      </c>
    </row>
    <row r="367" spans="17:127" x14ac:dyDescent="0.25">
      <c r="Q367" s="4">
        <f t="shared" si="411"/>
        <v>45471</v>
      </c>
      <c r="R367" s="24">
        <f t="shared" si="412"/>
        <v>0</v>
      </c>
      <c r="S367" s="25">
        <f t="shared" si="413"/>
        <v>0</v>
      </c>
      <c r="T367" s="24">
        <f t="shared" si="414"/>
        <v>0</v>
      </c>
      <c r="U367" s="25">
        <f t="shared" si="415"/>
        <v>0</v>
      </c>
      <c r="V367" s="24">
        <f t="shared" si="416"/>
        <v>0</v>
      </c>
      <c r="W367" s="25">
        <f t="shared" si="417"/>
        <v>0</v>
      </c>
      <c r="X367" s="24">
        <f t="shared" si="418"/>
        <v>0</v>
      </c>
      <c r="Y367" s="26">
        <f t="shared" si="419"/>
        <v>0</v>
      </c>
      <c r="Z367" s="27">
        <f t="shared" si="420"/>
        <v>0</v>
      </c>
      <c r="AA367" s="28">
        <f t="shared" si="421"/>
        <v>45471</v>
      </c>
      <c r="AB367" s="24">
        <f t="shared" si="422"/>
        <v>0</v>
      </c>
      <c r="AC367" s="25">
        <f t="shared" si="423"/>
        <v>0</v>
      </c>
      <c r="AD367" s="28">
        <f t="shared" si="424"/>
        <v>45471</v>
      </c>
      <c r="AE367" s="24">
        <f t="shared" si="425"/>
        <v>0</v>
      </c>
      <c r="AF367" s="25">
        <f t="shared" si="426"/>
        <v>0</v>
      </c>
      <c r="AG367" s="28">
        <f t="shared" si="427"/>
        <v>45471</v>
      </c>
      <c r="AH367" s="24">
        <f t="shared" si="428"/>
        <v>0</v>
      </c>
      <c r="AI367" s="25">
        <f t="shared" si="429"/>
        <v>0</v>
      </c>
      <c r="AJ367" s="28">
        <f t="shared" si="430"/>
        <v>45471</v>
      </c>
      <c r="AK367" s="24">
        <f t="shared" si="431"/>
        <v>0</v>
      </c>
      <c r="AL367" s="25">
        <f t="shared" si="432"/>
        <v>0</v>
      </c>
      <c r="AM367" s="29">
        <f t="shared" si="433"/>
        <v>0</v>
      </c>
      <c r="AN367" s="28">
        <f t="shared" si="434"/>
        <v>45471</v>
      </c>
      <c r="AO367" s="373">
        <f t="shared" si="403"/>
        <v>0</v>
      </c>
      <c r="AP367" s="374">
        <f t="shared" si="404"/>
        <v>0</v>
      </c>
      <c r="AQ367" s="27">
        <f t="shared" si="405"/>
        <v>0</v>
      </c>
      <c r="AR367" s="25">
        <f t="shared" si="406"/>
        <v>0</v>
      </c>
      <c r="AS367" s="25">
        <f t="shared" si="407"/>
        <v>0</v>
      </c>
      <c r="AT367" s="25">
        <f t="shared" si="408"/>
        <v>0</v>
      </c>
      <c r="AU367" s="29">
        <f t="shared" si="465"/>
        <v>0</v>
      </c>
      <c r="AV367" s="27">
        <f t="shared" si="435"/>
        <v>0</v>
      </c>
      <c r="AW367" s="27">
        <f t="shared" si="436"/>
        <v>0</v>
      </c>
      <c r="AX367" s="27">
        <f t="shared" si="437"/>
        <v>0</v>
      </c>
      <c r="AY367" s="27">
        <f t="shared" si="438"/>
        <v>0</v>
      </c>
      <c r="BH367" s="2">
        <f t="shared" si="439"/>
        <v>0</v>
      </c>
      <c r="BI367" s="298" t="str">
        <f t="shared" si="440"/>
        <v/>
      </c>
      <c r="BJ367" s="298" t="str">
        <f t="shared" si="409"/>
        <v/>
      </c>
      <c r="BQ367" s="4">
        <f t="shared" si="441"/>
        <v>45471</v>
      </c>
      <c r="BR367" s="112">
        <f t="shared" si="442"/>
        <v>0</v>
      </c>
      <c r="BS367" s="112">
        <f t="shared" si="443"/>
        <v>0</v>
      </c>
      <c r="BT367" s="112">
        <f t="shared" si="444"/>
        <v>0</v>
      </c>
      <c r="BU367" s="112">
        <f t="shared" si="445"/>
        <v>0</v>
      </c>
      <c r="BV367" s="112">
        <f t="shared" si="446"/>
        <v>0</v>
      </c>
      <c r="CI367" s="4">
        <f t="shared" si="447"/>
        <v>45471</v>
      </c>
      <c r="CJ367" s="50">
        <f ca="1">IF($BH367=0,IF($CO367="",CJ366+R367,IF('283'!$K$251=1,VLOOKUP($CO367,PerStBal,2)+R367,IF('283'!$K$253=1,(VLOOKUP($CO367,PerPortion,2)*VLOOKUP($CO367,PerStBal,6))+R367,GL!BS367))),0)</f>
        <v>0</v>
      </c>
      <c r="CK367" s="425">
        <f ca="1">IF($BH367=0,IF($CO367="",CK366+T367,IF('283'!$K$251=1,IF(mname2&lt;&gt;"",VLOOKUP($CO367,PerStBal,3)+T367,0),IF('283'!$K$253=1,(VLOOKUP($CO367,PerPortion,3)*VLOOKUP($CO367,PerStBal,6))+T367,GL!BT367))),0)</f>
        <v>0</v>
      </c>
      <c r="CL367" s="425">
        <f ca="1">IF($BH367=0,IF($CO367="",CL366+V367,IF('283'!$K$251=1,IF(mname3&lt;&gt;"",VLOOKUP($CO367,PerStBal,4)+V367,0),IF('283'!$K$253=1,(VLOOKUP($CO367,PerPortion,4)*VLOOKUP($CO367,PerStBal,6))+V367,GL!BU367))),0)</f>
        <v>0</v>
      </c>
      <c r="CM367" s="425">
        <f ca="1">IF($BH367=0,IF($CO367="",CM366+X367,IF('283'!$K$251=1,IF(mname4&lt;&gt;"",VLOOKUP($CO367,PerStBal,5)+X367,0),IF('283'!$K$253=1,(VLOOKUP($CO367,PerPortion,5)*VLOOKUP($CO367,PerStBal,6))+X367,GL!BV367))),0)</f>
        <v>0</v>
      </c>
      <c r="CN367" s="50">
        <f t="shared" ca="1" si="448"/>
        <v>0</v>
      </c>
      <c r="CO367" s="4" t="str">
        <f t="shared" ca="1" si="449"/>
        <v/>
      </c>
      <c r="CP367" s="377">
        <f t="shared" si="410"/>
        <v>0</v>
      </c>
      <c r="DI367" s="4">
        <f t="shared" si="450"/>
        <v>45471</v>
      </c>
      <c r="DJ367" s="112">
        <f t="shared" ca="1" si="451"/>
        <v>0</v>
      </c>
      <c r="DK367" s="112">
        <f t="shared" si="452"/>
        <v>0</v>
      </c>
      <c r="DL367" s="4">
        <f t="shared" si="453"/>
        <v>45471</v>
      </c>
      <c r="DM367" s="112">
        <f t="shared" ca="1" si="454"/>
        <v>0</v>
      </c>
      <c r="DN367" s="112">
        <f t="shared" si="455"/>
        <v>0</v>
      </c>
      <c r="DO367" s="4">
        <f t="shared" si="456"/>
        <v>45471</v>
      </c>
      <c r="DP367" s="112">
        <f t="shared" ca="1" si="457"/>
        <v>0</v>
      </c>
      <c r="DQ367" s="112">
        <f t="shared" si="458"/>
        <v>0</v>
      </c>
      <c r="DR367" s="4">
        <f t="shared" si="459"/>
        <v>45471</v>
      </c>
      <c r="DS367" s="112">
        <f t="shared" ca="1" si="460"/>
        <v>0</v>
      </c>
      <c r="DT367" s="112">
        <f t="shared" si="461"/>
        <v>0</v>
      </c>
      <c r="DU367" s="4">
        <f t="shared" si="462"/>
        <v>45471</v>
      </c>
      <c r="DV367" s="112">
        <f t="shared" si="463"/>
        <v>0</v>
      </c>
      <c r="DW367" s="112">
        <f t="shared" si="464"/>
        <v>0</v>
      </c>
    </row>
    <row r="368" spans="17:127" x14ac:dyDescent="0.25">
      <c r="Q368" s="4">
        <f t="shared" si="411"/>
        <v>45472</v>
      </c>
      <c r="R368" s="24">
        <f t="shared" si="412"/>
        <v>0</v>
      </c>
      <c r="S368" s="25">
        <f t="shared" si="413"/>
        <v>0</v>
      </c>
      <c r="T368" s="24">
        <f t="shared" si="414"/>
        <v>0</v>
      </c>
      <c r="U368" s="25">
        <f t="shared" si="415"/>
        <v>0</v>
      </c>
      <c r="V368" s="24">
        <f t="shared" si="416"/>
        <v>0</v>
      </c>
      <c r="W368" s="25">
        <f t="shared" si="417"/>
        <v>0</v>
      </c>
      <c r="X368" s="24">
        <f t="shared" si="418"/>
        <v>0</v>
      </c>
      <c r="Y368" s="26">
        <f t="shared" si="419"/>
        <v>0</v>
      </c>
      <c r="Z368" s="27">
        <f t="shared" si="420"/>
        <v>0</v>
      </c>
      <c r="AA368" s="28">
        <f t="shared" si="421"/>
        <v>45472</v>
      </c>
      <c r="AB368" s="24">
        <f t="shared" si="422"/>
        <v>0</v>
      </c>
      <c r="AC368" s="25">
        <f t="shared" si="423"/>
        <v>0</v>
      </c>
      <c r="AD368" s="28">
        <f t="shared" si="424"/>
        <v>45472</v>
      </c>
      <c r="AE368" s="24">
        <f t="shared" si="425"/>
        <v>0</v>
      </c>
      <c r="AF368" s="25">
        <f t="shared" si="426"/>
        <v>0</v>
      </c>
      <c r="AG368" s="28">
        <f t="shared" si="427"/>
        <v>45472</v>
      </c>
      <c r="AH368" s="24">
        <f t="shared" si="428"/>
        <v>0</v>
      </c>
      <c r="AI368" s="25">
        <f t="shared" si="429"/>
        <v>0</v>
      </c>
      <c r="AJ368" s="28">
        <f t="shared" si="430"/>
        <v>45472</v>
      </c>
      <c r="AK368" s="24">
        <f t="shared" si="431"/>
        <v>0</v>
      </c>
      <c r="AL368" s="25">
        <f t="shared" si="432"/>
        <v>0</v>
      </c>
      <c r="AM368" s="29">
        <f t="shared" si="433"/>
        <v>0</v>
      </c>
      <c r="AN368" s="28">
        <f t="shared" si="434"/>
        <v>45472</v>
      </c>
      <c r="AO368" s="373">
        <f t="shared" si="403"/>
        <v>0</v>
      </c>
      <c r="AP368" s="374">
        <f t="shared" si="404"/>
        <v>0</v>
      </c>
      <c r="AQ368" s="27">
        <f t="shared" si="405"/>
        <v>0</v>
      </c>
      <c r="AR368" s="25">
        <f t="shared" si="406"/>
        <v>0</v>
      </c>
      <c r="AS368" s="25">
        <f t="shared" si="407"/>
        <v>0</v>
      </c>
      <c r="AT368" s="25">
        <f t="shared" si="408"/>
        <v>0</v>
      </c>
      <c r="AU368" s="29">
        <f t="shared" si="465"/>
        <v>0</v>
      </c>
      <c r="AV368" s="27">
        <f t="shared" si="435"/>
        <v>0</v>
      </c>
      <c r="AW368" s="27">
        <f t="shared" si="436"/>
        <v>0</v>
      </c>
      <c r="AX368" s="27">
        <f t="shared" si="437"/>
        <v>0</v>
      </c>
      <c r="AY368" s="27">
        <f t="shared" si="438"/>
        <v>0</v>
      </c>
      <c r="BH368" s="2">
        <f t="shared" si="439"/>
        <v>0</v>
      </c>
      <c r="BI368" s="298" t="str">
        <f t="shared" si="440"/>
        <v/>
      </c>
      <c r="BJ368" s="298" t="str">
        <f t="shared" si="409"/>
        <v/>
      </c>
      <c r="BQ368" s="4">
        <f t="shared" si="441"/>
        <v>45472</v>
      </c>
      <c r="BR368" s="112">
        <f t="shared" si="442"/>
        <v>0</v>
      </c>
      <c r="BS368" s="112">
        <f t="shared" si="443"/>
        <v>0</v>
      </c>
      <c r="BT368" s="112">
        <f t="shared" si="444"/>
        <v>0</v>
      </c>
      <c r="BU368" s="112">
        <f t="shared" si="445"/>
        <v>0</v>
      </c>
      <c r="BV368" s="112">
        <f t="shared" si="446"/>
        <v>0</v>
      </c>
      <c r="CI368" s="4">
        <f t="shared" si="447"/>
        <v>45472</v>
      </c>
      <c r="CJ368" s="50">
        <f ca="1">IF($BH368=0,IF($CO368="",CJ367+R368,IF('283'!$K$251=1,VLOOKUP($CO368,PerStBal,2)+R368,IF('283'!$K$253=1,(VLOOKUP($CO368,PerPortion,2)*VLOOKUP($CO368,PerStBal,6))+R368,GL!BS368))),0)</f>
        <v>0</v>
      </c>
      <c r="CK368" s="425">
        <f ca="1">IF($BH368=0,IF($CO368="",CK367+T368,IF('283'!$K$251=1,IF(mname2&lt;&gt;"",VLOOKUP($CO368,PerStBal,3)+T368,0),IF('283'!$K$253=1,(VLOOKUP($CO368,PerPortion,3)*VLOOKUP($CO368,PerStBal,6))+T368,GL!BT368))),0)</f>
        <v>0</v>
      </c>
      <c r="CL368" s="425">
        <f ca="1">IF($BH368=0,IF($CO368="",CL367+V368,IF('283'!$K$251=1,IF(mname3&lt;&gt;"",VLOOKUP($CO368,PerStBal,4)+V368,0),IF('283'!$K$253=1,(VLOOKUP($CO368,PerPortion,4)*VLOOKUP($CO368,PerStBal,6))+V368,GL!BU368))),0)</f>
        <v>0</v>
      </c>
      <c r="CM368" s="425">
        <f ca="1">IF($BH368=0,IF($CO368="",CM367+X368,IF('283'!$K$251=1,IF(mname4&lt;&gt;"",VLOOKUP($CO368,PerStBal,5)+X368,0),IF('283'!$K$253=1,(VLOOKUP($CO368,PerPortion,5)*VLOOKUP($CO368,PerStBal,6))+X368,GL!BV368))),0)</f>
        <v>0</v>
      </c>
      <c r="CN368" s="50">
        <f t="shared" ca="1" si="448"/>
        <v>0</v>
      </c>
      <c r="CO368" s="4" t="str">
        <f t="shared" ca="1" si="449"/>
        <v/>
      </c>
      <c r="CP368" s="377">
        <f t="shared" si="410"/>
        <v>0</v>
      </c>
      <c r="DI368" s="4">
        <f t="shared" si="450"/>
        <v>45472</v>
      </c>
      <c r="DJ368" s="112">
        <f t="shared" ca="1" si="451"/>
        <v>0</v>
      </c>
      <c r="DK368" s="112">
        <f t="shared" si="452"/>
        <v>0</v>
      </c>
      <c r="DL368" s="4">
        <f t="shared" si="453"/>
        <v>45472</v>
      </c>
      <c r="DM368" s="112">
        <f t="shared" ca="1" si="454"/>
        <v>0</v>
      </c>
      <c r="DN368" s="112">
        <f t="shared" si="455"/>
        <v>0</v>
      </c>
      <c r="DO368" s="4">
        <f t="shared" si="456"/>
        <v>45472</v>
      </c>
      <c r="DP368" s="112">
        <f t="shared" ca="1" si="457"/>
        <v>0</v>
      </c>
      <c r="DQ368" s="112">
        <f t="shared" si="458"/>
        <v>0</v>
      </c>
      <c r="DR368" s="4">
        <f t="shared" si="459"/>
        <v>45472</v>
      </c>
      <c r="DS368" s="112">
        <f t="shared" ca="1" si="460"/>
        <v>0</v>
      </c>
      <c r="DT368" s="112">
        <f t="shared" si="461"/>
        <v>0</v>
      </c>
      <c r="DU368" s="4">
        <f t="shared" si="462"/>
        <v>45472</v>
      </c>
      <c r="DV368" s="112">
        <f t="shared" si="463"/>
        <v>0</v>
      </c>
      <c r="DW368" s="112">
        <f t="shared" si="464"/>
        <v>0</v>
      </c>
    </row>
    <row r="369" spans="17:127" ht="15.75" thickBot="1" x14ac:dyDescent="0.3">
      <c r="Q369" s="4">
        <f t="shared" si="411"/>
        <v>45473</v>
      </c>
      <c r="R369" s="117">
        <f t="shared" si="412"/>
        <v>0</v>
      </c>
      <c r="S369" s="118">
        <f t="shared" si="413"/>
        <v>0</v>
      </c>
      <c r="T369" s="117">
        <f t="shared" si="414"/>
        <v>0</v>
      </c>
      <c r="U369" s="118">
        <f t="shared" si="415"/>
        <v>0</v>
      </c>
      <c r="V369" s="117">
        <f t="shared" si="416"/>
        <v>0</v>
      </c>
      <c r="W369" s="118">
        <f t="shared" si="417"/>
        <v>0</v>
      </c>
      <c r="X369" s="117">
        <f t="shared" si="418"/>
        <v>0</v>
      </c>
      <c r="Y369" s="118">
        <f t="shared" si="419"/>
        <v>0</v>
      </c>
      <c r="Z369" s="119">
        <f t="shared" si="420"/>
        <v>0</v>
      </c>
      <c r="AA369" s="28">
        <f t="shared" si="421"/>
        <v>45473</v>
      </c>
      <c r="AB369" s="117">
        <f>IF(MONTH(AA369)&gt;6,0,AB368+R369)</f>
        <v>0</v>
      </c>
      <c r="AC369" s="118">
        <f>IF(MONTH(AA369)&gt;6,0,AC368+S369)</f>
        <v>0</v>
      </c>
      <c r="AD369" s="28">
        <f t="shared" si="424"/>
        <v>45473</v>
      </c>
      <c r="AE369" s="117">
        <f>IF(MONTH(AD369)&gt;6,0,AE368+T369)</f>
        <v>0</v>
      </c>
      <c r="AF369" s="118">
        <f>IF(MONTH(AD369)&gt;6,0,AF368+U369)</f>
        <v>0</v>
      </c>
      <c r="AG369" s="28">
        <f t="shared" si="427"/>
        <v>45473</v>
      </c>
      <c r="AH369" s="117">
        <f>IF(MONTH(AG369)&gt;6,0,AH368+V369)</f>
        <v>0</v>
      </c>
      <c r="AI369" s="118">
        <f>IF(MONTH(AG369)&gt;6,0,AI368+W369)</f>
        <v>0</v>
      </c>
      <c r="AJ369" s="28">
        <f t="shared" si="430"/>
        <v>45473</v>
      </c>
      <c r="AK369" s="117">
        <f>IF(MONTH(AJ369)&gt;6,0,AK368+X369)</f>
        <v>0</v>
      </c>
      <c r="AL369" s="118">
        <f>IF(MONTH(AJ369)&gt;6,0,AL368+Y369)</f>
        <v>0</v>
      </c>
      <c r="AM369" s="120">
        <f>IF(MONTH(AJ369)&gt;6,0,AM368+Z369)</f>
        <v>0</v>
      </c>
      <c r="AN369" s="28">
        <f t="shared" si="434"/>
        <v>45473</v>
      </c>
      <c r="AO369" s="373">
        <f t="shared" si="403"/>
        <v>0</v>
      </c>
      <c r="AP369" s="375">
        <f t="shared" si="404"/>
        <v>0</v>
      </c>
      <c r="AQ369" s="119">
        <f t="shared" si="405"/>
        <v>0</v>
      </c>
      <c r="AR369" s="118">
        <f t="shared" si="406"/>
        <v>0</v>
      </c>
      <c r="AS369" s="118">
        <f t="shared" si="407"/>
        <v>0</v>
      </c>
      <c r="AT369" s="118">
        <f t="shared" si="408"/>
        <v>0</v>
      </c>
      <c r="AU369" s="120">
        <f t="shared" si="465"/>
        <v>0</v>
      </c>
      <c r="AV369" s="27">
        <f>IF(VALUE(AC369)&gt;0,AB369,0)</f>
        <v>0</v>
      </c>
      <c r="AW369" s="27">
        <f t="shared" si="436"/>
        <v>0</v>
      </c>
      <c r="AX369" s="27">
        <f t="shared" si="437"/>
        <v>0</v>
      </c>
      <c r="AY369" s="27">
        <f t="shared" si="438"/>
        <v>0</v>
      </c>
      <c r="BH369" s="2">
        <f t="shared" si="439"/>
        <v>0</v>
      </c>
      <c r="BI369" s="298"/>
      <c r="BJ369" s="298"/>
      <c r="BQ369" s="4">
        <f t="shared" si="441"/>
        <v>45473</v>
      </c>
      <c r="BR369" s="112">
        <f>SUM(AB369,AE369,AH369,AK369)</f>
        <v>0</v>
      </c>
      <c r="BS369" s="112">
        <f t="shared" si="443"/>
        <v>0</v>
      </c>
      <c r="BT369" s="112">
        <f t="shared" si="444"/>
        <v>0</v>
      </c>
      <c r="BU369" s="112">
        <f t="shared" si="445"/>
        <v>0</v>
      </c>
      <c r="BV369" s="112">
        <f t="shared" si="446"/>
        <v>0</v>
      </c>
      <c r="CI369" s="4">
        <f t="shared" si="447"/>
        <v>45473</v>
      </c>
      <c r="CJ369" s="50">
        <f ca="1">IF(DAY(CI369)=30,IF($BH369=0,IF($CO369="",CJ368+R369,IF('283'!$K$251=1,VLOOKUP($CO369,PerStBal,2)+R369,IF('283'!$K$253=1,(VLOOKUP($CO369,PerPortion,2)*VLOOKUP($CO369,PerStBal,6))+R369,GL!BS369))),0),0)</f>
        <v>0</v>
      </c>
      <c r="CK369" s="425">
        <f ca="1">IF($BH369=0,IF($CO369="",CK368+T369,IF('283'!$K$251=1,IF(mname2&lt;&gt;"",VLOOKUP($CO369,PerStBal,3)+T369,0),IF('283'!$K$253=1,(VLOOKUP($CO369,PerPortion,3)*VLOOKUP($CO369,PerStBal,6))+T369,GL!BT369))),0)</f>
        <v>0</v>
      </c>
      <c r="CL369" s="425">
        <f ca="1">IF($BH369=0,IF($CO369="",CL368+V369,IF('283'!$K$251=1,IF(mname3&lt;&gt;"",VLOOKUP($CO369,PerStBal,4)+V369,0),IF('283'!$K$253=1,(VLOOKUP($CO369,PerPortion,4)*VLOOKUP($CO369,PerStBal,6))+V369,GL!BU369))),0)</f>
        <v>0</v>
      </c>
      <c r="CM369" s="425">
        <f ca="1">IF($BH369=0,IF($CO369="",CM368+X369,IF('283'!$K$251=1,IF(mname4&lt;&gt;"",VLOOKUP($CO369,PerStBal,5)+X369,0),IF('283'!$K$253=1,(VLOOKUP($CO369,PerPortion,5)*VLOOKUP($CO369,PerStBal,6))+X369,GL!BV369))),0)</f>
        <v>0</v>
      </c>
      <c r="CN369" s="50">
        <f t="shared" ca="1" si="448"/>
        <v>0</v>
      </c>
      <c r="CO369" s="4" t="str">
        <f t="shared" ca="1" si="449"/>
        <v/>
      </c>
      <c r="CP369" s="377">
        <f t="shared" si="410"/>
        <v>0</v>
      </c>
      <c r="DI369" s="4">
        <f t="shared" si="450"/>
        <v>45473</v>
      </c>
      <c r="DJ369" s="112">
        <f t="shared" ca="1" si="451"/>
        <v>0</v>
      </c>
      <c r="DK369" s="112">
        <f t="shared" si="452"/>
        <v>0</v>
      </c>
      <c r="DL369" s="4">
        <f t="shared" si="453"/>
        <v>45473</v>
      </c>
      <c r="DM369" s="112">
        <f t="shared" ca="1" si="454"/>
        <v>0</v>
      </c>
      <c r="DN369" s="112">
        <f t="shared" si="455"/>
        <v>0</v>
      </c>
      <c r="DO369" s="4">
        <f t="shared" si="456"/>
        <v>45473</v>
      </c>
      <c r="DP369" s="112">
        <f t="shared" ca="1" si="457"/>
        <v>0</v>
      </c>
      <c r="DQ369" s="112">
        <f t="shared" si="458"/>
        <v>0</v>
      </c>
      <c r="DR369" s="4">
        <f t="shared" si="459"/>
        <v>45473</v>
      </c>
      <c r="DS369" s="112">
        <f t="shared" ca="1" si="460"/>
        <v>0</v>
      </c>
      <c r="DT369" s="112">
        <f t="shared" si="461"/>
        <v>0</v>
      </c>
      <c r="DU369" s="4">
        <f t="shared" si="462"/>
        <v>45473</v>
      </c>
      <c r="DV369" s="112">
        <f t="shared" si="463"/>
        <v>0</v>
      </c>
      <c r="DW369" s="112">
        <f t="shared" si="464"/>
        <v>0</v>
      </c>
    </row>
    <row r="370" spans="17:127" ht="15.75" thickTop="1" x14ac:dyDescent="0.25">
      <c r="AO370" s="376"/>
      <c r="AP370" s="376"/>
      <c r="CP370" s="378"/>
    </row>
    <row r="371" spans="17:127" x14ac:dyDescent="0.25">
      <c r="AA371" s="1" t="s">
        <v>143</v>
      </c>
      <c r="AB371" s="112">
        <f ca="1">AV371</f>
        <v>0</v>
      </c>
      <c r="AC371" s="112">
        <f ca="1">AVERAGE(AC4:OFFSET(AC4,DaysInYear-1,0))</f>
        <v>0</v>
      </c>
      <c r="AD371" s="112"/>
      <c r="AE371" s="112">
        <f ca="1">AW371</f>
        <v>0</v>
      </c>
      <c r="AF371" s="112">
        <f ca="1">AVERAGE(AF4:OFFSET(AF4,DaysInYear-1,0))</f>
        <v>0</v>
      </c>
      <c r="AG371" s="112"/>
      <c r="AH371" s="112">
        <f ca="1">AX371</f>
        <v>0</v>
      </c>
      <c r="AI371" s="112">
        <f ca="1">AVERAGE(AI4:OFFSET(AI4,DaysInYear-1,0))</f>
        <v>0</v>
      </c>
      <c r="AJ371" s="112"/>
      <c r="AK371" s="112">
        <f ca="1">AY371</f>
        <v>0</v>
      </c>
      <c r="AL371" s="112">
        <f ca="1">AVERAGE(AL4:OFFSET(AL4,DaysInYear-1,0))</f>
        <v>0</v>
      </c>
      <c r="AM371" s="112">
        <f ca="1">AVERAGE(AM4:OFFSET(AM4,DaysInYear-1,0))</f>
        <v>0</v>
      </c>
      <c r="AO371" s="377">
        <f ca="1">AVERAGE(AO4:OFFSET(AO4,DaysInYear-1,0))</f>
        <v>0</v>
      </c>
      <c r="AP371" s="379">
        <f ca="1">AVERAGE(AP4:OFFSET(AP4,DaysInYear-1,0))</f>
        <v>0</v>
      </c>
      <c r="AQ371" s="112">
        <f ca="1">SUM(AB371:AC371)</f>
        <v>0</v>
      </c>
      <c r="AR371" s="112">
        <f ca="1">SUM(AE371:AF371)</f>
        <v>0</v>
      </c>
      <c r="AS371" s="112">
        <f ca="1">SUM(AH371:AI371)</f>
        <v>0</v>
      </c>
      <c r="AT371" s="112">
        <f ca="1">SUM(AK371:AL371)</f>
        <v>0</v>
      </c>
      <c r="AU371" s="112">
        <f ca="1">AVERAGE(AU4:OFFSET(AU4,DaysInYear-1,0))</f>
        <v>0</v>
      </c>
      <c r="AV371" s="112">
        <f ca="1">AVERAGE(AV4:OFFSET(AV4,DaysInYear-1,0))</f>
        <v>0</v>
      </c>
      <c r="AW371" s="112">
        <f ca="1">AVERAGE(AW4:OFFSET(AW4,DaysInYear-1,0))</f>
        <v>0</v>
      </c>
      <c r="AX371" s="112">
        <f ca="1">AVERAGE(AX4:OFFSET(AX4,DaysInYear-1,0))</f>
        <v>0</v>
      </c>
      <c r="AY371" s="112">
        <f ca="1">AVERAGE(AY4:OFFSET(AY4,DaysInYear-1,0))</f>
        <v>0</v>
      </c>
      <c r="CP371" s="380">
        <f ca="1">AVERAGE(CP4:OFFSET(CP4,DaysInYear-1,0))</f>
        <v>0</v>
      </c>
    </row>
    <row r="372" spans="17:127" x14ac:dyDescent="0.25">
      <c r="AA372" s="1" t="s">
        <v>144</v>
      </c>
      <c r="AB372" s="121">
        <f ca="1">C111</f>
        <v>0</v>
      </c>
      <c r="AC372" s="121">
        <f ca="1">I111</f>
        <v>0</v>
      </c>
      <c r="AD372" s="121"/>
      <c r="AE372" s="121">
        <f ca="1">D111</f>
        <v>0</v>
      </c>
      <c r="AF372" s="121">
        <f ca="1">J111</f>
        <v>0</v>
      </c>
      <c r="AG372" s="121"/>
      <c r="AH372" s="121">
        <f ca="1">E111</f>
        <v>0</v>
      </c>
      <c r="AI372" s="121">
        <f ca="1">K111</f>
        <v>0</v>
      </c>
      <c r="AJ372" s="121"/>
      <c r="AK372" s="121">
        <f ca="1">F111</f>
        <v>0</v>
      </c>
      <c r="AL372" s="121">
        <f ca="1">L111</f>
        <v>0</v>
      </c>
      <c r="AM372" s="121">
        <f ca="1">M111</f>
        <v>0</v>
      </c>
      <c r="AO372" s="121"/>
      <c r="AP372" s="121"/>
      <c r="AQ372" s="121">
        <f ca="1">C109</f>
        <v>0</v>
      </c>
      <c r="AR372" s="121">
        <f ca="1">D109</f>
        <v>0</v>
      </c>
      <c r="AS372" s="121">
        <f ca="1">E109</f>
        <v>0</v>
      </c>
      <c r="AT372" s="121">
        <f ca="1">F109</f>
        <v>0</v>
      </c>
      <c r="AU372" s="121">
        <f ca="1">G109</f>
        <v>0</v>
      </c>
      <c r="AV372" s="121"/>
      <c r="AW372" s="121"/>
      <c r="AX372" s="121"/>
      <c r="AY372" s="121"/>
    </row>
    <row r="373" spans="17:127" x14ac:dyDescent="0.25">
      <c r="AA373" s="1" t="s">
        <v>94</v>
      </c>
      <c r="AB373" s="377">
        <f ca="1">CP371</f>
        <v>0</v>
      </c>
      <c r="AC373" s="149">
        <f ca="1">AO371</f>
        <v>0</v>
      </c>
      <c r="AN373" s="1"/>
      <c r="AO373" s="112"/>
      <c r="AQ373" s="72">
        <f ca="1">IF(AQ381&lt;&gt;0,AB372/AQ372,0)</f>
        <v>0</v>
      </c>
      <c r="AR373" s="72">
        <f ca="1">IF(AR381&lt;&gt;0,AE372/AR372,0)</f>
        <v>0</v>
      </c>
      <c r="AS373" s="72">
        <f ca="1">IF(AS381&lt;&gt;0,AH372/AS372,0)</f>
        <v>0</v>
      </c>
      <c r="AT373" s="72">
        <f ca="1">IF(AT381&lt;&gt;0,AK372/AT372,0)</f>
        <v>0</v>
      </c>
      <c r="AV373" s="72"/>
      <c r="AW373" s="72"/>
      <c r="AX373" s="72"/>
      <c r="AY373" s="72"/>
    </row>
    <row r="374" spans="17:127" x14ac:dyDescent="0.25">
      <c r="AA374" s="1" t="s">
        <v>94</v>
      </c>
      <c r="AB374" s="121"/>
      <c r="AN374" s="1"/>
      <c r="AO374" s="112"/>
      <c r="AQ374" s="377">
        <f>AB368+AE368+AH368+AK368</f>
        <v>0</v>
      </c>
      <c r="AR374" s="410">
        <f>AB368</f>
        <v>0</v>
      </c>
      <c r="AS374" s="410">
        <f>AE368</f>
        <v>0</v>
      </c>
      <c r="AT374" s="410">
        <f>AH368</f>
        <v>0</v>
      </c>
      <c r="AU374" s="410">
        <f>AK368</f>
        <v>0</v>
      </c>
      <c r="AV374" s="112"/>
    </row>
    <row r="375" spans="17:127" x14ac:dyDescent="0.25">
      <c r="AA375" s="1" t="s">
        <v>95</v>
      </c>
      <c r="AB375" s="149">
        <f ca="1">AC375</f>
        <v>0</v>
      </c>
      <c r="AC375" s="149">
        <f ca="1">AP371</f>
        <v>0</v>
      </c>
      <c r="AN375" s="1"/>
      <c r="AO375" s="293"/>
      <c r="AQ375" s="112">
        <f>SUM(AQ368:AU368)</f>
        <v>0</v>
      </c>
      <c r="AR375" s="112">
        <f>SUM(AB368:AC368)</f>
        <v>0</v>
      </c>
      <c r="AS375" s="112">
        <f>SUM(AE368:AF368)</f>
        <v>0</v>
      </c>
      <c r="AT375" s="112">
        <f>SUM(AH368:AI368)</f>
        <v>0</v>
      </c>
      <c r="AU375" s="112">
        <f>SUM(AK368:AL368)</f>
        <v>0</v>
      </c>
    </row>
    <row r="376" spans="17:127" x14ac:dyDescent="0.25">
      <c r="AA376" s="1" t="s">
        <v>95</v>
      </c>
      <c r="AB376" s="121"/>
    </row>
    <row r="377" spans="17:127" x14ac:dyDescent="0.25">
      <c r="AA377" s="1" t="s">
        <v>21</v>
      </c>
      <c r="AB377" s="149">
        <f ca="1">AB375+AB373</f>
        <v>0</v>
      </c>
      <c r="AC377" s="149">
        <f ca="1">AC373+AC375</f>
        <v>0</v>
      </c>
    </row>
    <row r="378" spans="17:127" x14ac:dyDescent="0.25">
      <c r="AA378" s="1" t="s">
        <v>21</v>
      </c>
      <c r="AB378" s="121"/>
      <c r="AQ378" s="72">
        <f ca="1">IF($AB$377&gt;0,AQ372/$AB$377,0)</f>
        <v>0</v>
      </c>
      <c r="AR378" s="72">
        <f t="shared" ref="AR378:AT378" ca="1" si="466">IF($AB$377&gt;0,AR372/$AB$377,0)</f>
        <v>0</v>
      </c>
      <c r="AS378" s="72">
        <f t="shared" ca="1" si="466"/>
        <v>0</v>
      </c>
      <c r="AT378" s="72">
        <f t="shared" ca="1" si="466"/>
        <v>0</v>
      </c>
      <c r="AU378" s="72"/>
      <c r="AV378" s="72"/>
      <c r="AW378" s="72"/>
      <c r="AX378" s="72"/>
      <c r="AY378" s="72"/>
    </row>
    <row r="379" spans="17:127" x14ac:dyDescent="0.25">
      <c r="AA379" s="1" t="s">
        <v>145</v>
      </c>
      <c r="AB379" s="150">
        <f ca="1">IF(AB377&gt;0,AB373/AB377,0)</f>
        <v>0</v>
      </c>
      <c r="AC379" s="2">
        <f ca="1">IF(AC377&gt;0,AC373/AC377,0)</f>
        <v>0</v>
      </c>
    </row>
    <row r="380" spans="17:127" x14ac:dyDescent="0.25">
      <c r="AA380" s="1" t="s">
        <v>145</v>
      </c>
      <c r="AB380" s="151"/>
    </row>
    <row r="381" spans="17:127" x14ac:dyDescent="0.25">
      <c r="AQ381" s="2">
        <f ca="1">AVERAGE(AQ4:OFFSET(AQ4,DaysInYear-1,0))</f>
        <v>0</v>
      </c>
      <c r="AR381" s="2">
        <f ca="1">AVERAGE(AR4:OFFSET(AR4,DaysInYear-1,0))</f>
        <v>0</v>
      </c>
      <c r="AS381" s="2">
        <f ca="1">AVERAGE(AS4:OFFSET(AS4,DaysInYear-1,0))</f>
        <v>0</v>
      </c>
      <c r="AT381" s="2">
        <f ca="1">AVERAGE(AT4:OFFSET(AT4,DaysInYear-1,0))</f>
        <v>0</v>
      </c>
    </row>
  </sheetData>
  <mergeCells count="30">
    <mergeCell ref="DV2:DW2"/>
    <mergeCell ref="C113:D113"/>
    <mergeCell ref="B2:O2"/>
    <mergeCell ref="R2:S2"/>
    <mergeCell ref="AB2:AC2"/>
    <mergeCell ref="I3:O3"/>
    <mergeCell ref="C106:G106"/>
    <mergeCell ref="C107:G107"/>
    <mergeCell ref="C110:F110"/>
    <mergeCell ref="I110:M110"/>
    <mergeCell ref="T2:U2"/>
    <mergeCell ref="AE2:AF2"/>
    <mergeCell ref="V2:W2"/>
    <mergeCell ref="AH2:AI2"/>
    <mergeCell ref="R1:S1"/>
    <mergeCell ref="DJ2:DK2"/>
    <mergeCell ref="DM2:DN2"/>
    <mergeCell ref="DP2:DQ2"/>
    <mergeCell ref="DS2:DT2"/>
    <mergeCell ref="X2:Y2"/>
    <mergeCell ref="AB1:AC1"/>
    <mergeCell ref="T1:U1"/>
    <mergeCell ref="AE1:AF1"/>
    <mergeCell ref="V1:W1"/>
    <mergeCell ref="AO1:AP1"/>
    <mergeCell ref="X1:Y1"/>
    <mergeCell ref="AK1:AL1"/>
    <mergeCell ref="AH1:AI1"/>
    <mergeCell ref="AO2:AP2"/>
    <mergeCell ref="AK2:AL2"/>
  </mergeCells>
  <phoneticPr fontId="5" type="noConversion"/>
  <pageMargins left="0.7" right="0.7" top="0.75" bottom="0.75" header="0.3" footer="0.3"/>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c2f818d-5d3d-439e-8d50-115c04a2a42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5226CCE7BA5E4ABD735B21DDC14450" ma:contentTypeVersion="14" ma:contentTypeDescription="Create a new document." ma:contentTypeScope="" ma:versionID="a2f5b09df6828b29423b033369147f80">
  <xsd:schema xmlns:xsd="http://www.w3.org/2001/XMLSchema" xmlns:xs="http://www.w3.org/2001/XMLSchema" xmlns:p="http://schemas.microsoft.com/office/2006/metadata/properties" xmlns:ns2="3b5e9c17-564e-4945-a591-44acb7557413" xmlns:ns3="ac2f818d-5d3d-439e-8d50-115c04a2a421" targetNamespace="http://schemas.microsoft.com/office/2006/metadata/properties" ma:root="true" ma:fieldsID="11259a0c1082677b4dbb873f84e3b7e3" ns2:_="" ns3:_="">
    <xsd:import namespace="3b5e9c17-564e-4945-a591-44acb7557413"/>
    <xsd:import namespace="ac2f818d-5d3d-439e-8d50-115c04a2a42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5e9c17-564e-4945-a591-44acb75574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f818d-5d3d-439e-8d50-115c04a2a42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499e6e7-8b18-4ca9-a4a3-78d803456f3d}" ma:internalName="TaxCatchAll" ma:showField="CatchAllData" ma:web="ac2f818d-5d3d-439e-8d50-115c04a2a4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611E9C-0A21-4255-8CA0-0E641E662C3F}">
  <ds:schemaRefs>
    <ds:schemaRef ds:uri="http://schemas.microsoft.com/office/2006/metadata/properties"/>
    <ds:schemaRef ds:uri="http://schemas.microsoft.com/office/infopath/2007/PartnerControls"/>
    <ds:schemaRef ds:uri="ac2f818d-5d3d-439e-8d50-115c04a2a421"/>
  </ds:schemaRefs>
</ds:datastoreItem>
</file>

<file path=customXml/itemProps2.xml><?xml version="1.0" encoding="utf-8"?>
<ds:datastoreItem xmlns:ds="http://schemas.openxmlformats.org/officeDocument/2006/customXml" ds:itemID="{0F328D76-C4D1-4694-AC8A-6FAB9D292459}">
  <ds:schemaRefs>
    <ds:schemaRef ds:uri="http://schemas.microsoft.com/sharepoint/v3/contenttype/forms"/>
  </ds:schemaRefs>
</ds:datastoreItem>
</file>

<file path=customXml/itemProps3.xml><?xml version="1.0" encoding="utf-8"?>
<ds:datastoreItem xmlns:ds="http://schemas.openxmlformats.org/officeDocument/2006/customXml" ds:itemID="{D7009FEF-A880-438F-AAE7-D00519ABDF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5e9c17-564e-4945-a591-44acb7557413"/>
    <ds:schemaRef ds:uri="ac2f818d-5d3d-439e-8d50-115c04a2a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92</vt:i4>
      </vt:variant>
    </vt:vector>
  </HeadingPairs>
  <TitlesOfParts>
    <vt:vector size="93" baseType="lpstr">
      <vt:lpstr>283</vt:lpstr>
      <vt:lpstr>anyPens</vt:lpstr>
      <vt:lpstr>balA1</vt:lpstr>
      <vt:lpstr>balA2</vt:lpstr>
      <vt:lpstr>balA3</vt:lpstr>
      <vt:lpstr>balA4</vt:lpstr>
      <vt:lpstr>balP1</vt:lpstr>
      <vt:lpstr>balP2</vt:lpstr>
      <vt:lpstr>balP3</vt:lpstr>
      <vt:lpstr>balP4</vt:lpstr>
      <vt:lpstr>calcNOgood</vt:lpstr>
      <vt:lpstr>GL!DaysInYear</vt:lpstr>
      <vt:lpstr>DS_Amt_Start</vt:lpstr>
      <vt:lpstr>DS_Start</vt:lpstr>
      <vt:lpstr>dspend</vt:lpstr>
      <vt:lpstr>dspstart</vt:lpstr>
      <vt:lpstr>end_year</vt:lpstr>
      <vt:lpstr>EndPeriods</vt:lpstr>
      <vt:lpstr>EndValue</vt:lpstr>
      <vt:lpstr>ErrorFlag</vt:lpstr>
      <vt:lpstr>estdate</vt:lpstr>
      <vt:lpstr>fclbal</vt:lpstr>
      <vt:lpstr>finyear</vt:lpstr>
      <vt:lpstr>FYears</vt:lpstr>
      <vt:lpstr>IntTransTypes</vt:lpstr>
      <vt:lpstr>ITError</vt:lpstr>
      <vt:lpstr>LastPer</vt:lpstr>
      <vt:lpstr>m1accum</vt:lpstr>
      <vt:lpstr>m1PBal</vt:lpstr>
      <vt:lpstr>m1pens</vt:lpstr>
      <vt:lpstr>m1TBal</vt:lpstr>
      <vt:lpstr>m2accum</vt:lpstr>
      <vt:lpstr>m2PBal</vt:lpstr>
      <vt:lpstr>m2pens</vt:lpstr>
      <vt:lpstr>m2TBal</vt:lpstr>
      <vt:lpstr>m3accum</vt:lpstr>
      <vt:lpstr>m3PBal</vt:lpstr>
      <vt:lpstr>m3pens</vt:lpstr>
      <vt:lpstr>m3TBal</vt:lpstr>
      <vt:lpstr>m4accum</vt:lpstr>
      <vt:lpstr>m4PBal</vt:lpstr>
      <vt:lpstr>m4pens</vt:lpstr>
      <vt:lpstr>m4TBal</vt:lpstr>
      <vt:lpstr>mdob1</vt:lpstr>
      <vt:lpstr>mdob2</vt:lpstr>
      <vt:lpstr>mdob3</vt:lpstr>
      <vt:lpstr>mdob4</vt:lpstr>
      <vt:lpstr>MemAccts</vt:lpstr>
      <vt:lpstr>MemBal1</vt:lpstr>
      <vt:lpstr>MemBal2</vt:lpstr>
      <vt:lpstr>MemBal3</vt:lpstr>
      <vt:lpstr>MemBal4</vt:lpstr>
      <vt:lpstr>GL!middate</vt:lpstr>
      <vt:lpstr>mname1</vt:lpstr>
      <vt:lpstr>mname2</vt:lpstr>
      <vt:lpstr>mname3</vt:lpstr>
      <vt:lpstr>mname4</vt:lpstr>
      <vt:lpstr>msname1</vt:lpstr>
      <vt:lpstr>msname2</vt:lpstr>
      <vt:lpstr>msname3</vt:lpstr>
      <vt:lpstr>msname4</vt:lpstr>
      <vt:lpstr>netinc</vt:lpstr>
      <vt:lpstr>PenBal1</vt:lpstr>
      <vt:lpstr>PenBal2</vt:lpstr>
      <vt:lpstr>PenBal3</vt:lpstr>
      <vt:lpstr>PenBal4</vt:lpstr>
      <vt:lpstr>PensionBals</vt:lpstr>
      <vt:lpstr>PerPortion</vt:lpstr>
      <vt:lpstr>PerStBal</vt:lpstr>
      <vt:lpstr>'283'!Print_Area</vt:lpstr>
      <vt:lpstr>res</vt:lpstr>
      <vt:lpstr>Run_Pens_Bal</vt:lpstr>
      <vt:lpstr>seg_choice</vt:lpstr>
      <vt:lpstr>seg_eligible</vt:lpstr>
      <vt:lpstr>St_Amounts</vt:lpstr>
      <vt:lpstr>start_year</vt:lpstr>
      <vt:lpstr>StPeriods</vt:lpstr>
      <vt:lpstr>theYear</vt:lpstr>
      <vt:lpstr>TotMem</vt:lpstr>
      <vt:lpstr>TotMemBal</vt:lpstr>
      <vt:lpstr>TotPen</vt:lpstr>
      <vt:lpstr>TotPenBal</vt:lpstr>
      <vt:lpstr>transtypes</vt:lpstr>
      <vt:lpstr>txtenddate</vt:lpstr>
      <vt:lpstr>txtstdate</vt:lpstr>
      <vt:lpstr>upend</vt:lpstr>
      <vt:lpstr>upstart</vt:lpstr>
      <vt:lpstr>UseSeg</vt:lpstr>
      <vt:lpstr>windupdate</vt:lpstr>
      <vt:lpstr>GL!YearEnd</vt:lpstr>
      <vt:lpstr>GL!YearStart</vt:lpstr>
      <vt:lpstr>yrend</vt:lpstr>
      <vt:lpstr>yrstart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OMeagher</dc:creator>
  <cp:lastModifiedBy>Andy O'Meagher</cp:lastModifiedBy>
  <cp:lastPrinted>2018-06-13T00:31:30Z</cp:lastPrinted>
  <dcterms:created xsi:type="dcterms:W3CDTF">2014-03-22T03:13:10Z</dcterms:created>
  <dcterms:modified xsi:type="dcterms:W3CDTF">2025-01-21T23:00:03Z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234818700</vt:r8>
  </property>
  <property fmtid="{D5CDD505-2E9C-101B-9397-08002B2CF9AE}" pid="3" name="xd_ProgID">
    <vt:lpwstr/>
  </property>
  <property fmtid="{D5CDD505-2E9C-101B-9397-08002B2CF9AE}" pid="4" name="ContentTypeId">
    <vt:lpwstr>0x010100865226CCE7BA5E4ABD735B21DDC14450</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